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9.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hart10.xml" ContentType="application/vnd.openxmlformats-officedocument.drawingml.chart+xml"/>
  <Override PartName="/xl/charts/colors9.xml" ContentType="application/vnd.ms-office.chartcolorstyle+xml"/>
  <Override PartName="/xl/charts/style9.xml" ContentType="application/vnd.ms-office.chart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8.xml" ContentType="application/vnd.ms-office.chartcolorstyle+xml"/>
  <Override PartName="/xl/charts/style8.xml" ContentType="application/vnd.ms-office.chartstyle+xml"/>
  <Override PartName="/xl/charts/chart8.xml" ContentType="application/vnd.openxmlformats-officedocument.drawingml.chart+xml"/>
  <Override PartName="/xl/worksheets/sheet1.xml" ContentType="application/vnd.openxmlformats-officedocument.spreadsheetml.worksheet+xml"/>
  <Override PartName="/xl/worksheets/sheet4.xml" ContentType="application/vnd.openxmlformats-officedocument.spreadsheetml.worksheet+xml"/>
  <Override PartName="/xl/charts/colors6.xml" ContentType="application/vnd.ms-office.chartcolorstyle+xml"/>
  <Override PartName="/xl/charts/style6.xml" ContentType="application/vnd.ms-office.chartstyle+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4.xml" ContentType="application/vnd.openxmlformats-officedocument.spreadsheetml.worksheet+xml"/>
  <Override PartName="/xl/drawings/drawing4.xml" ContentType="application/vnd.openxmlformats-officedocument.drawing+xml"/>
  <Override PartName="/xl/charts/style3.xml" ContentType="application/vnd.ms-office.chartstyle+xml"/>
  <Override PartName="/xl/charts/colors3.xml" ContentType="application/vnd.ms-office.chartcolorstyle+xml"/>
  <Override PartName="/xl/charts/colors4.xml" ContentType="application/vnd.ms-office.chartcolorstyle+xml"/>
  <Override PartName="/xl/charts/style4.xml" ContentType="application/vnd.ms-office.chartstyle+xml"/>
  <Override PartName="/xl/drawings/drawing5.xml" ContentType="application/vnd.openxmlformats-officedocument.drawing+xml"/>
  <Override PartName="/xl/charts/chart4.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worksheets/sheet5.xml" ContentType="application/vnd.openxmlformats-officedocument.spreadsheetml.worksheet+xml"/>
  <Override PartName="/xl/drawings/drawing7.xml" ContentType="application/vnd.openxmlformats-officedocument.drawing+xml"/>
  <Override PartName="/xl/charts/colors5.xml" ContentType="application/vnd.ms-office.chartcolorstyle+xml"/>
  <Override PartName="/xl/charts/style5.xml" ContentType="application/vnd.ms-office.chartstyle+xml"/>
  <Override PartName="/xl/calcChain.xml" ContentType="application/vnd.openxmlformats-officedocument.spreadsheetml.calcChain+xml"/>
  <Override PartName="/xl/ctrlProps/ctrlProp1.xml" ContentType="application/vnd.ms-excel.controlproperties+xml"/>
  <Override PartName="/xl/comments1.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8800" windowHeight="13005" tabRatio="620"/>
  </bookViews>
  <sheets>
    <sheet name="Eingaben" sheetId="3" r:id="rId1"/>
    <sheet name="MINERGIE" sheetId="33254" state="hidden" r:id="rId2"/>
    <sheet name="Nachweis" sheetId="1027" r:id="rId3"/>
    <sheet name="Sommer" sheetId="33255" state="hidden" r:id="rId4"/>
    <sheet name="Uebersicht" sheetId="33257" state="hidden" r:id="rId5"/>
    <sheet name="MOP" sheetId="33253" state="hidden" r:id="rId6"/>
    <sheet name="Solar_BE" sheetId="33262" state="hidden" r:id="rId7"/>
    <sheet name="Uebersicht_BE" sheetId="33261" state="hidden" r:id="rId8"/>
    <sheet name="Standardwerte" sheetId="83" state="hidden" r:id="rId9"/>
    <sheet name="PVopti" sheetId="33258" state="hidden" r:id="rId10"/>
    <sheet name="Log" sheetId="8194" state="hidden" r:id="rId11"/>
    <sheet name="Erstellung" sheetId="33259" state="hidden" r:id="rId12"/>
    <sheet name="Uebersetzung" sheetId="1" state="hidden" r:id="rId13"/>
    <sheet name="Oeko" sheetId="33260" state="hidden" r:id="rId14"/>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6">Solar_BE!$A$1:$K$38</definedName>
    <definedName name="_xlnm.Print_Area" localSheetId="3">Sommer!$A$1:$M$52</definedName>
    <definedName name="_xlnm.Print_Area" localSheetId="8">Standardwerte!$A$1:$Z$77</definedName>
    <definedName name="_xlnm.Print_Area" localSheetId="4">Uebersicht!$A$1:$K$70</definedName>
    <definedName name="_xlnm.Print_Area" localSheetId="7">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wohnen_neu">Solar_BE!$K$40</definedName>
    <definedName name="EBF_wohnen_neu1">Solar_BE!$F$40</definedName>
    <definedName name="EBF_wohnen_neu2">Solar_BE!$G$40</definedName>
    <definedName name="EBF_wohnen_neu3">Solar_BE!$H$40</definedName>
    <definedName name="EBF_wohnen_neu4">Solar_BE!$I$40</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ischnutzung">Solar_BE!$K$42</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olar_erfüllt">Solar_BE!$K$57</definedName>
    <definedName name="Solarpflicht">Solar_BE!$K$44</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33262" l="1"/>
  <c r="K53" i="33262"/>
  <c r="B38" i="33262"/>
  <c r="C20" i="33262"/>
  <c r="K19" i="33262"/>
  <c r="H19" i="33262"/>
  <c r="C19" i="33262"/>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5" i="33253" s="1"/>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I18" i="33262"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04" i="33253"/>
  <c r="B62" i="3"/>
  <c r="B84" i="1027"/>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L57" i="1027"/>
  <c r="D747" i="1" l="1"/>
  <c r="B16" i="33262" s="1"/>
  <c r="D748" i="1"/>
  <c r="B26" i="33262" s="1"/>
  <c r="D729" i="1"/>
  <c r="B11" i="33262" s="1"/>
  <c r="D736" i="1"/>
  <c r="D744" i="1"/>
  <c r="F23" i="33262" s="1"/>
  <c r="D737" i="1"/>
  <c r="B25" i="33262" s="1"/>
  <c r="D745" i="1"/>
  <c r="B20" i="3" s="1"/>
  <c r="D738" i="1"/>
  <c r="D746" i="1"/>
  <c r="B15" i="33262" s="1"/>
  <c r="D739" i="1"/>
  <c r="B28" i="33262" s="1"/>
  <c r="D740" i="1"/>
  <c r="B29" i="33262" s="1"/>
  <c r="B36" i="33262"/>
  <c r="D742" i="1"/>
  <c r="B31" i="33262" s="1"/>
  <c r="D743" i="1"/>
  <c r="B32" i="33262" s="1"/>
  <c r="B31" i="33261" s="1"/>
  <c r="D741" i="1"/>
  <c r="B30" i="33262" s="1"/>
  <c r="D725" i="1"/>
  <c r="B9" i="33262" s="1"/>
  <c r="D726" i="1"/>
  <c r="D733" i="1"/>
  <c r="B34" i="33262" s="1"/>
  <c r="D727" i="1"/>
  <c r="D728" i="1"/>
  <c r="B10" i="33262" s="1"/>
  <c r="D734" i="1"/>
  <c r="B35" i="33262" s="1"/>
  <c r="D730" i="1"/>
  <c r="B12" i="33262" s="1"/>
  <c r="D731" i="1"/>
  <c r="B13" i="33262" s="1"/>
  <c r="D732" i="1"/>
  <c r="B14" i="33262" s="1"/>
  <c r="D724" i="1"/>
  <c r="D723" i="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B20" i="33262" s="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I19" i="33262" s="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D114" i="1"/>
  <c r="D314" i="1"/>
  <c r="D418" i="1"/>
  <c r="B18" i="33262"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B19" i="33262" s="1"/>
  <c r="D396" i="1"/>
  <c r="AF12" i="83" s="1"/>
  <c r="D37" i="1"/>
  <c r="D109" i="1"/>
  <c r="D197" i="1"/>
  <c r="W149" i="83" s="1"/>
  <c r="T152" i="83" s="1"/>
  <c r="M49" i="33258" s="1"/>
  <c r="D253" i="1"/>
  <c r="D301" i="1"/>
  <c r="B61"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B27" i="33262" l="1"/>
  <c r="B24" i="33262"/>
  <c r="B12" i="33259"/>
  <c r="A11" i="33259" s="1"/>
  <c r="B22" i="33262"/>
  <c r="H23" i="33262"/>
  <c r="G2" i="3"/>
  <c r="H2" i="1027" s="1"/>
  <c r="G21" i="33261"/>
  <c r="G19" i="33262"/>
  <c r="B28" i="33261"/>
  <c r="G20" i="33261"/>
  <c r="G18" i="33262"/>
  <c r="I33" i="1027"/>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45" i="33261"/>
  <c r="B42" i="33257"/>
  <c r="B42" i="33261"/>
  <c r="B12" i="33257"/>
  <c r="B12" i="33261"/>
  <c r="H18" i="33257"/>
  <c r="H18" i="33261"/>
  <c r="M67" i="33257"/>
  <c r="M67" i="33261"/>
  <c r="G3" i="33257"/>
  <c r="M49" i="33257"/>
  <c r="P42" i="33257" s="1"/>
  <c r="M49" i="33261"/>
  <c r="P87" i="33261" s="1"/>
  <c r="F46" i="33261"/>
  <c r="F45" i="33261"/>
  <c r="F47"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10" i="33259" l="1"/>
  <c r="A12" i="33259"/>
  <c r="A491" i="33253"/>
  <c r="K54" i="33262"/>
  <c r="K55" i="33262" s="1"/>
  <c r="F30" i="33262" s="1"/>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M20" i="1027"/>
  <c r="Q14" i="33259"/>
  <c r="Q13" i="33259"/>
  <c r="Q16" i="33259"/>
  <c r="Q15" i="33259"/>
  <c r="Q17" i="33259"/>
  <c r="Q29" i="33255"/>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AG40" i="83"/>
  <c r="AK40" i="83"/>
  <c r="R42" i="83"/>
  <c r="AM40" i="83"/>
  <c r="AH19" i="33259" l="1"/>
  <c r="AI19" i="33259" s="1"/>
  <c r="G50" i="33262"/>
  <c r="F50" i="33262"/>
  <c r="F51" i="33262"/>
  <c r="R44" i="83"/>
  <c r="Q44" i="83" s="1"/>
  <c r="A42" i="33253" s="1"/>
  <c r="AH21" i="33259"/>
  <c r="AI21" i="33259" s="1"/>
  <c r="I50" i="33262"/>
  <c r="AH20" i="33259"/>
  <c r="AI20" i="33259" s="1"/>
  <c r="H50" i="33262"/>
  <c r="AE12" i="33254"/>
  <c r="R45" i="83"/>
  <c r="Q45" i="83" s="1"/>
  <c r="S45" i="83" s="1"/>
  <c r="R46" i="83"/>
  <c r="Q46" i="83" s="1"/>
  <c r="AK63" i="83"/>
  <c r="BN28" i="83" s="1"/>
  <c r="AL64" i="83"/>
  <c r="G4" i="33262"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F21" i="1027"/>
  <c r="AG59" i="33254"/>
  <c r="U20" i="1027"/>
  <c r="R20" i="1027"/>
  <c r="F50" i="1027" s="1"/>
  <c r="A183" i="33253" s="1"/>
  <c r="AE23" i="1027"/>
  <c r="AN20" i="1027"/>
  <c r="B22" i="1027"/>
  <c r="AK20" i="1027"/>
  <c r="AG23" i="1027"/>
  <c r="AK21" i="1027"/>
  <c r="B21" i="1027"/>
  <c r="AE21" i="1027"/>
  <c r="S20" i="1027"/>
  <c r="T20" i="1027"/>
  <c r="AF23" i="1027"/>
  <c r="A132" i="33253"/>
  <c r="AB21" i="1027"/>
  <c r="M21" i="1027"/>
  <c r="AF21" i="1027"/>
  <c r="C11" i="33258"/>
  <c r="S16" i="1027"/>
  <c r="AF19" i="1027"/>
  <c r="R16" i="1027"/>
  <c r="F49" i="1027" s="1"/>
  <c r="A182" i="33253" s="1"/>
  <c r="AE17" i="1027"/>
  <c r="T16" i="1027"/>
  <c r="W57" i="83"/>
  <c r="V57" i="83" s="1"/>
  <c r="AN16" i="1027"/>
  <c r="AC16" i="1027"/>
  <c r="A130" i="33253"/>
  <c r="B17" i="1027"/>
  <c r="U16"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AD12" i="33254"/>
  <c r="AG12" i="33254"/>
  <c r="D11" i="83"/>
  <c r="E11" i="83"/>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93" i="1" l="1"/>
  <c r="G93" i="1"/>
  <c r="E93" i="1"/>
  <c r="D93" i="1" s="1"/>
  <c r="G3" i="33262"/>
  <c r="S44" i="83"/>
  <c r="H31" i="1027" s="1"/>
  <c r="D19" i="33258"/>
  <c r="F52" i="33262"/>
  <c r="G5" i="1"/>
  <c r="F5" i="1"/>
  <c r="E5" i="1"/>
  <c r="B53" i="3"/>
  <c r="B51" i="3"/>
  <c r="E3" i="3"/>
  <c r="E3" i="33262" s="1"/>
  <c r="B1" i="3"/>
  <c r="A3" i="33253" s="1"/>
  <c r="B1" i="33262"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V63" i="83"/>
  <c r="X55" i="83"/>
  <c r="U63" i="83"/>
  <c r="B47" i="1027" s="1"/>
  <c r="AF55" i="83"/>
  <c r="AG55" i="83" s="1"/>
  <c r="AB55" i="83"/>
  <c r="AB8" i="1027"/>
  <c r="H9" i="1027" s="1"/>
  <c r="V8" i="1027"/>
  <c r="W8" i="1027"/>
  <c r="BL32" i="83"/>
  <c r="BM33" i="83"/>
  <c r="BK28" i="83"/>
  <c r="BM28" i="83"/>
  <c r="D5" i="1" l="1"/>
  <c r="K1" i="33262" s="1"/>
  <c r="R98" i="83"/>
  <c r="BC48" i="83"/>
  <c r="BD48" i="83" s="1"/>
  <c r="B744" i="33260"/>
  <c r="AN20" i="33260"/>
  <c r="B730" i="33260"/>
  <c r="B30" i="33261"/>
  <c r="F3" i="1027"/>
  <c r="E3" i="33261"/>
  <c r="M135" i="83"/>
  <c r="B56" i="3"/>
  <c r="B43" i="33261"/>
  <c r="B1" i="33257"/>
  <c r="B1" i="33261"/>
  <c r="B1" i="33255"/>
  <c r="B1" i="1027"/>
  <c r="B1" i="33254"/>
  <c r="Z77" i="33254"/>
  <c r="A639" i="33253"/>
  <c r="K1" i="33261"/>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K1" i="33257" l="1"/>
  <c r="K1" i="3"/>
  <c r="M1" i="33255" s="1"/>
  <c r="K1" i="33254"/>
  <c r="I21" i="83"/>
  <c r="BG20" i="33260" s="1"/>
  <c r="N13" i="33260"/>
  <c r="DT304" i="33260"/>
  <c r="BG304" i="33260"/>
  <c r="DJ23" i="33260"/>
  <c r="GG304" i="33260"/>
  <c r="N3" i="33260"/>
  <c r="AE644" i="33260"/>
  <c r="AE636" i="33260"/>
  <c r="Q644" i="33260"/>
  <c r="U625" i="33260" s="1"/>
  <c r="Z1" i="83"/>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I96" i="83" l="1"/>
  <c r="AS5" i="83"/>
  <c r="L1" i="1027"/>
  <c r="Q2" i="3"/>
  <c r="M11" i="33259" s="1"/>
  <c r="H41" i="33262"/>
  <c r="P2" i="3"/>
  <c r="W33" i="33254" s="1"/>
  <c r="W35" i="33254" s="1"/>
  <c r="G41" i="33262"/>
  <c r="R2" i="3"/>
  <c r="N11" i="33259" s="1"/>
  <c r="I41" i="33262"/>
  <c r="Y67" i="33254"/>
  <c r="Y58" i="33254"/>
  <c r="X58" i="33254"/>
  <c r="P99" i="83"/>
  <c r="F17" i="33258"/>
  <c r="P100" i="83"/>
  <c r="AY11" i="83"/>
  <c r="BT58" i="83"/>
  <c r="J38" i="1027"/>
  <c r="Y13" i="33254"/>
  <c r="Y17" i="33254"/>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BR58" i="83"/>
  <c r="R31" i="33254"/>
  <c r="I46" i="33262"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4" i="83"/>
  <c r="N30" i="83"/>
  <c r="H81" i="3"/>
  <c r="Q59" i="33254"/>
  <c r="AF19" i="83"/>
  <c r="Q95" i="33254"/>
  <c r="Q47" i="33254"/>
  <c r="Q49" i="33254" s="1"/>
  <c r="AK37" i="83"/>
  <c r="Q48" i="33254"/>
  <c r="BU57" i="83"/>
  <c r="AK36" i="83"/>
  <c r="Q78" i="33254"/>
  <c r="Q79" i="33254" s="1"/>
  <c r="X48" i="33254"/>
  <c r="AX7" i="83"/>
  <c r="AX6" i="83"/>
  <c r="BR57" i="83"/>
  <c r="O4" i="83"/>
  <c r="BP58" i="83"/>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G46" i="33262"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F41" i="33262" s="1"/>
  <c r="X67" i="33254" l="1"/>
  <c r="X59" i="33254" s="1"/>
  <c r="E18" i="33258"/>
  <c r="E32" i="33258" s="1"/>
  <c r="AF73" i="33254"/>
  <c r="H91" i="3"/>
  <c r="H79" i="3"/>
  <c r="H23" i="33254"/>
  <c r="X78" i="33254" s="1"/>
  <c r="X33" i="33254"/>
  <c r="X35" i="33254" s="1"/>
  <c r="A37" i="33253"/>
  <c r="AF74" i="33254"/>
  <c r="X68" i="33254"/>
  <c r="Y59" i="33254"/>
  <c r="Y33" i="33254"/>
  <c r="Y35" i="33254" s="1"/>
  <c r="AG73" i="33254"/>
  <c r="A38" i="33253"/>
  <c r="I23" i="33254"/>
  <c r="I79" i="3"/>
  <c r="I91" i="3"/>
  <c r="F18" i="33258"/>
  <c r="F27" i="33258" s="1"/>
  <c r="AG74" i="33254"/>
  <c r="K41" i="33262"/>
  <c r="Y68" i="33254"/>
  <c r="I40" i="33262"/>
  <c r="I43" i="33262" s="1"/>
  <c r="I45" i="33262"/>
  <c r="H45" i="33262"/>
  <c r="H40" i="33262"/>
  <c r="H43" i="33262" s="1"/>
  <c r="G40" i="33262"/>
  <c r="G43" i="33262" s="1"/>
  <c r="G45" i="33262"/>
  <c r="R26" i="33254"/>
  <c r="Q26" i="33254"/>
  <c r="P26" i="33254"/>
  <c r="AC3" i="1027"/>
  <c r="O2" i="3"/>
  <c r="O48" i="33254" s="1"/>
  <c r="S48" i="33254" s="1"/>
  <c r="E30" i="33258"/>
  <c r="AE74" i="33254"/>
  <c r="AE73" i="33254"/>
  <c r="L11" i="33259"/>
  <c r="G23" i="33254"/>
  <c r="W14" i="33254" s="1"/>
  <c r="A36" i="33253"/>
  <c r="D18" i="33258"/>
  <c r="G79" i="3"/>
  <c r="G91" i="3"/>
  <c r="W67" i="33254"/>
  <c r="W59" i="33254" s="1"/>
  <c r="W58" i="33254"/>
  <c r="W82" i="33254"/>
  <c r="P43" i="33254"/>
  <c r="Q43" i="33254"/>
  <c r="Y82" i="33254"/>
  <c r="R4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81" i="33254"/>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J48" i="83"/>
  <c r="AE15" i="33254" s="1"/>
  <c r="D37" i="33258"/>
  <c r="W81"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AV9" i="83"/>
  <c r="AZ9" i="83" s="1"/>
  <c r="S3" i="83"/>
  <c r="O108" i="33254"/>
  <c r="O109" i="33254" s="1"/>
  <c r="A462" i="33253"/>
  <c r="A463" i="33253" s="1"/>
  <c r="A20" i="33253"/>
  <c r="G37" i="1027"/>
  <c r="AG37" i="83"/>
  <c r="O59" i="33254"/>
  <c r="V48" i="33254"/>
  <c r="N23" i="83"/>
  <c r="O83" i="33254"/>
  <c r="O86" i="33254" s="1"/>
  <c r="S86" i="33254" s="1"/>
  <c r="O47" i="33254"/>
  <c r="S2" i="83"/>
  <c r="AV11" i="83"/>
  <c r="AZ11" i="83" s="1"/>
  <c r="K42" i="3"/>
  <c r="Q76" i="83"/>
  <c r="J89" i="3"/>
  <c r="Q69" i="83"/>
  <c r="J90" i="3"/>
  <c r="K39" i="3"/>
  <c r="S74" i="83"/>
  <c r="R71" i="83"/>
  <c r="J30" i="83"/>
  <c r="Q73" i="83"/>
  <c r="S70" i="83"/>
  <c r="J24" i="3"/>
  <c r="R76" i="83"/>
  <c r="J29" i="83"/>
  <c r="Q74" i="83"/>
  <c r="Q77" i="83"/>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E33" i="33258" l="1"/>
  <c r="E28" i="33258"/>
  <c r="E27" i="33258"/>
  <c r="E29" i="33258"/>
  <c r="E31" i="33258"/>
  <c r="E34" i="33258"/>
  <c r="AF13" i="33254"/>
  <c r="AF14" i="33254" s="1"/>
  <c r="Q30" i="33254"/>
  <c r="Q32" i="33254" s="1"/>
  <c r="K42" i="33262"/>
  <c r="F34" i="33258"/>
  <c r="F28" i="33258"/>
  <c r="F29" i="33258"/>
  <c r="F33" i="33258"/>
  <c r="F30" i="33258"/>
  <c r="F31" i="33258"/>
  <c r="F32" i="33258"/>
  <c r="O84" i="33254"/>
  <c r="S84" i="33254" s="1"/>
  <c r="O85" i="33254" s="1"/>
  <c r="F40" i="33262"/>
  <c r="F45" i="33262"/>
  <c r="V33" i="33254"/>
  <c r="AD74" i="33254"/>
  <c r="AI74" i="33254" s="1"/>
  <c r="W78" i="33254"/>
  <c r="P30" i="33254"/>
  <c r="P32" i="33254" s="1"/>
  <c r="AE13" i="33254"/>
  <c r="AE14" i="33254" s="1"/>
  <c r="O26" i="33254"/>
  <c r="K40" i="33262"/>
  <c r="A506" i="33253"/>
  <c r="AD73" i="33254"/>
  <c r="AI73" i="33254" s="1"/>
  <c r="K11" i="33259"/>
  <c r="O11" i="33259" s="1"/>
  <c r="R19" i="33259" s="1"/>
  <c r="A793" i="33253" s="1"/>
  <c r="C18" i="33258"/>
  <c r="F79" i="3"/>
  <c r="F23" i="33254"/>
  <c r="V78" i="33254" s="1"/>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Y25" i="33254"/>
  <c r="M109" i="83"/>
  <c r="M103" i="83"/>
  <c r="M102" i="83"/>
  <c r="L109" i="83"/>
  <c r="L103" i="83"/>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Q62" i="33261" s="1"/>
  <c r="M5" i="83"/>
  <c r="AE9" i="1027"/>
  <c r="AE13" i="1027"/>
  <c r="M6" i="83"/>
  <c r="AI35" i="83" s="1"/>
  <c r="AI38" i="83" s="1"/>
  <c r="AI41" i="83" s="1"/>
  <c r="J28" i="83" s="1"/>
  <c r="G88" i="3" s="1"/>
  <c r="Q36" i="83"/>
  <c r="G81" i="3" s="1"/>
  <c r="O126" i="83"/>
  <c r="O101" i="83"/>
  <c r="Q97" i="83"/>
  <c r="V18" i="33254"/>
  <c r="J47" i="83"/>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S31" i="33254"/>
  <c r="V81" i="33254"/>
  <c r="V82"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B15" i="33259"/>
  <c r="AC14" i="33259"/>
  <c r="AC12" i="33259"/>
  <c r="AD15" i="33259"/>
  <c r="AE14" i="33259"/>
  <c r="AB14" i="33259"/>
  <c r="AE12" i="33259"/>
  <c r="AE15" i="33259"/>
  <c r="AD12" i="33259"/>
  <c r="AD14" i="33259"/>
  <c r="AB12" i="33259"/>
  <c r="AC15" i="33259"/>
  <c r="Q85" i="33254" l="1"/>
  <c r="R85" i="33254"/>
  <c r="P85" i="33254"/>
  <c r="Q131" i="83"/>
  <c r="Q130" i="83"/>
  <c r="P126" i="83"/>
  <c r="P130" i="83"/>
  <c r="Z78" i="33254"/>
  <c r="K20" i="3"/>
  <c r="F43" i="33262"/>
  <c r="K43" i="33262" s="1"/>
  <c r="K44" i="33262" s="1"/>
  <c r="K57" i="33262" s="1"/>
  <c r="J32" i="33262" s="1"/>
  <c r="O30" i="33254"/>
  <c r="S30" i="33254" s="1"/>
  <c r="K45" i="33262"/>
  <c r="AI75" i="33254"/>
  <c r="Z67" i="33254"/>
  <c r="N53" i="33261" s="1"/>
  <c r="V68" i="33254"/>
  <c r="Z68" i="33254" s="1"/>
  <c r="S19" i="33259"/>
  <c r="A794" i="33253" s="1"/>
  <c r="AH6" i="33259"/>
  <c r="F11" i="33259"/>
  <c r="AD13" i="33254"/>
  <c r="V14" i="33254"/>
  <c r="Z14" i="33254" s="1"/>
  <c r="O124" i="83"/>
  <c r="O131" i="83"/>
  <c r="R6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7" i="33254"/>
  <c r="X89" i="33254" s="1"/>
  <c r="I32" i="1027"/>
  <c r="S38" i="83"/>
  <c r="I82" i="3"/>
  <c r="I87" i="3" s="1"/>
  <c r="R55" i="33254"/>
  <c r="X85" i="33254"/>
  <c r="X88" i="33254"/>
  <c r="M105" i="83"/>
  <c r="Y87" i="33254"/>
  <c r="Y89" i="33254" s="1"/>
  <c r="Y88" i="33254"/>
  <c r="R25" i="33254"/>
  <c r="J32" i="1027"/>
  <c r="Y85" i="33254"/>
  <c r="AK35" i="83"/>
  <c r="AK38" i="83" s="1"/>
  <c r="AK41" i="83" s="1"/>
  <c r="H82" i="3"/>
  <c r="H87" i="3" s="1"/>
  <c r="A352" i="33253"/>
  <c r="I80" i="3"/>
  <c r="I45" i="3"/>
  <c r="H80" i="3"/>
  <c r="H45" i="3"/>
  <c r="AG35" i="83"/>
  <c r="T53" i="83" s="1"/>
  <c r="S35" i="83"/>
  <c r="J105" i="83"/>
  <c r="V88" i="33254"/>
  <c r="K105" i="83"/>
  <c r="G32" i="1027"/>
  <c r="O25" i="33254"/>
  <c r="O33" i="33254" s="1"/>
  <c r="V91" i="33254" s="1"/>
  <c r="O55" i="33254"/>
  <c r="H32" i="1027"/>
  <c r="W85" i="33254"/>
  <c r="W88" i="33254"/>
  <c r="K19" i="3"/>
  <c r="W87" i="33254"/>
  <c r="W89" i="33254" s="1"/>
  <c r="P55" i="33254"/>
  <c r="K104" i="83"/>
  <c r="K107" i="83" s="1"/>
  <c r="K91" i="3"/>
  <c r="S62" i="83"/>
  <c r="P25" i="83"/>
  <c r="H37" i="1027" s="1"/>
  <c r="U49" i="83"/>
  <c r="U50" i="83"/>
  <c r="U47" i="83"/>
  <c r="U48" i="83"/>
  <c r="R36" i="83"/>
  <c r="G94" i="3"/>
  <c r="V85" i="33254"/>
  <c r="J94" i="3"/>
  <c r="V25" i="33254"/>
  <c r="V15" i="33254"/>
  <c r="V19" i="33254" s="1"/>
  <c r="AD15" i="33254"/>
  <c r="K17" i="3"/>
  <c r="J109" i="83"/>
  <c r="J102" i="83"/>
  <c r="L26" i="83"/>
  <c r="L41" i="33257"/>
  <c r="A507" i="33253"/>
  <c r="A508" i="33253" s="1"/>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D13" i="33259"/>
  <c r="AB13" i="33259"/>
  <c r="AE13" i="33259"/>
  <c r="AC11" i="33259"/>
  <c r="AC13" i="33259"/>
  <c r="AE11" i="33259"/>
  <c r="AD11" i="33259"/>
  <c r="AB11" i="33259"/>
  <c r="F25" i="33262" l="1"/>
  <c r="S85" i="33254"/>
  <c r="O32" i="33254"/>
  <c r="S32" i="33254" s="1"/>
  <c r="F24" i="33262"/>
  <c r="J24" i="33262"/>
  <c r="R33" i="33254"/>
  <c r="Y92" i="33254" s="1"/>
  <c r="Q33" i="33254"/>
  <c r="X91" i="33254" s="1"/>
  <c r="N54" i="33261"/>
  <c r="W91" i="33254"/>
  <c r="Y91" i="33254"/>
  <c r="R44" i="33254" s="1"/>
  <c r="I47" i="33262" s="1"/>
  <c r="N52" i="33261"/>
  <c r="K59" i="33261" s="1"/>
  <c r="R50" i="33261" s="1"/>
  <c r="AD14" i="33254"/>
  <c r="AH14" i="33254" s="1"/>
  <c r="AD17" i="33254" s="1"/>
  <c r="AH13" i="33254"/>
  <c r="V92" i="33254"/>
  <c r="O44" i="33254" s="1"/>
  <c r="F47" i="33262" s="1"/>
  <c r="W92" i="33254"/>
  <c r="A767" i="33253"/>
  <c r="A773" i="33253"/>
  <c r="A771" i="33253"/>
  <c r="A769" i="33253"/>
  <c r="A770" i="33253"/>
  <c r="A768" i="33253"/>
  <c r="A774" i="33253"/>
  <c r="A772" i="33253"/>
  <c r="D25" i="33258"/>
  <c r="V79" i="33254"/>
  <c r="V80" i="33254" s="1"/>
  <c r="F52" i="3"/>
  <c r="N132" i="83"/>
  <c r="N124" i="83"/>
  <c r="P138" i="83"/>
  <c r="I43" i="1027" s="1"/>
  <c r="X79" i="33254"/>
  <c r="X80" i="33254" s="1"/>
  <c r="K23" i="3"/>
  <c r="K24" i="3"/>
  <c r="Q138" i="83"/>
  <c r="J43" i="1027" s="1"/>
  <c r="Y79" i="33254"/>
  <c r="Y80"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W90" i="33254"/>
  <c r="N105" i="83"/>
  <c r="AG38" i="83"/>
  <c r="AG41" i="83" s="1"/>
  <c r="J27" i="83" s="1"/>
  <c r="F94" i="3" s="1"/>
  <c r="K106" i="83"/>
  <c r="C24" i="33258"/>
  <c r="S25" i="33254"/>
  <c r="A239" i="33253"/>
  <c r="Z62" i="33254"/>
  <c r="AF14" i="83" s="1"/>
  <c r="B71" i="33254" s="1"/>
  <c r="J71" i="33254" s="1"/>
  <c r="A378" i="33253" s="1"/>
  <c r="A379" i="33253" s="1"/>
  <c r="U48" i="1027"/>
  <c r="P24" i="1027" s="1"/>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F25" i="33258" l="1"/>
  <c r="P44" i="33254"/>
  <c r="G47" i="33262" s="1"/>
  <c r="E25" i="33258"/>
  <c r="X92" i="33254"/>
  <c r="Q44" i="33254" s="1"/>
  <c r="H47" i="33262" s="1"/>
  <c r="W83" i="33254"/>
  <c r="V83" i="33254"/>
  <c r="V86" i="33254" s="1"/>
  <c r="V34" i="33254" s="1"/>
  <c r="V37" i="33254" s="1"/>
  <c r="Q144" i="83"/>
  <c r="Q141" i="83" s="1"/>
  <c r="Q143" i="83"/>
  <c r="Y83" i="33254"/>
  <c r="Y86" i="33254" s="1"/>
  <c r="Y34" i="33254" s="1"/>
  <c r="Y37" i="33254" s="1"/>
  <c r="I83" i="3"/>
  <c r="J39" i="1027" s="1"/>
  <c r="R106" i="33254" s="1"/>
  <c r="I84" i="3"/>
  <c r="J40" i="1027" s="1"/>
  <c r="A202" i="33253" s="1"/>
  <c r="I34" i="1027"/>
  <c r="A186" i="33253" s="1"/>
  <c r="H83" i="3"/>
  <c r="I39" i="1027" s="1"/>
  <c r="A196" i="33253" s="1"/>
  <c r="H84" i="3"/>
  <c r="I40" i="1027" s="1"/>
  <c r="E22" i="33258" s="1"/>
  <c r="G84" i="3"/>
  <c r="H40" i="1027" s="1"/>
  <c r="G83" i="3"/>
  <c r="AG17" i="33254"/>
  <c r="AF17" i="33254"/>
  <c r="AE17" i="33254"/>
  <c r="W86" i="33254"/>
  <c r="W34" i="33254" s="1"/>
  <c r="W37" i="33254" s="1"/>
  <c r="F37" i="33257"/>
  <c r="A476" i="33253" s="1"/>
  <c r="F37" i="33261"/>
  <c r="Z50" i="33254"/>
  <c r="H37" i="33257"/>
  <c r="A477" i="33253" s="1"/>
  <c r="H37" i="33261"/>
  <c r="N53" i="33257"/>
  <c r="R51" i="33257" s="1"/>
  <c r="Q50" i="33257"/>
  <c r="Q50" i="33261"/>
  <c r="X46" i="33254"/>
  <c r="A206" i="33253"/>
  <c r="J86" i="1027"/>
  <c r="I86" i="1027"/>
  <c r="I35" i="1027"/>
  <c r="R94" i="33254"/>
  <c r="A564" i="33253" s="1"/>
  <c r="Y46" i="33254"/>
  <c r="A207" i="33253"/>
  <c r="J35" i="1027"/>
  <c r="A192" i="33253" s="1"/>
  <c r="J34" i="1027"/>
  <c r="A187" i="33253" s="1"/>
  <c r="N144" i="83"/>
  <c r="A579" i="33253"/>
  <c r="Z79" i="33254"/>
  <c r="Z80" i="33254" s="1"/>
  <c r="Z81" i="33254" s="1"/>
  <c r="H86" i="1027"/>
  <c r="H34" i="1027"/>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E29" i="33259"/>
  <c r="F20" i="33259"/>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K47" i="33262" l="1"/>
  <c r="F27" i="33262" s="1"/>
  <c r="H17" i="33254"/>
  <c r="E20" i="33258" s="1"/>
  <c r="H46" i="33262"/>
  <c r="A578" i="33253"/>
  <c r="X47" i="33254"/>
  <c r="X83" i="33254"/>
  <c r="X86" i="33254" s="1"/>
  <c r="X34" i="33254" s="1"/>
  <c r="X37" i="33254" s="1"/>
  <c r="X43" i="33254" s="1"/>
  <c r="P143" i="83"/>
  <c r="P144" i="83"/>
  <c r="AF32" i="33254"/>
  <c r="F84" i="3"/>
  <c r="AH17" i="33254"/>
  <c r="O144" i="83"/>
  <c r="O143" i="83"/>
  <c r="A577" i="33253"/>
  <c r="A576" i="33253"/>
  <c r="N143" i="83"/>
  <c r="N141" i="83" s="1"/>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A185" i="33253"/>
  <c r="AE32" i="33254"/>
  <c r="A787" i="33253"/>
  <c r="A783" i="33253"/>
  <c r="G86" i="1027"/>
  <c r="A204" i="33253"/>
  <c r="G35" i="1027"/>
  <c r="AC2" i="1027"/>
  <c r="O60" i="1027" s="1"/>
  <c r="V46" i="33254"/>
  <c r="Z46" i="33254" s="1"/>
  <c r="T2" i="1027"/>
  <c r="A335" i="33253"/>
  <c r="O94" i="33254"/>
  <c r="A561" i="33253" s="1"/>
  <c r="A788" i="33253"/>
  <c r="A786" i="33253"/>
  <c r="A785" i="33253"/>
  <c r="A784" i="33253"/>
  <c r="A337" i="33253"/>
  <c r="Q94" i="33254"/>
  <c r="A171" i="33253"/>
  <c r="N50" i="1027"/>
  <c r="A336" i="33253"/>
  <c r="P94" i="33254"/>
  <c r="A200" i="33253"/>
  <c r="G17" i="33254"/>
  <c r="AE18" i="33254"/>
  <c r="AE19" i="33254" s="1"/>
  <c r="AE21" i="33254" s="1"/>
  <c r="A190" i="33253"/>
  <c r="V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A541" i="33253" l="1"/>
  <c r="P141" i="83"/>
  <c r="Z34" i="33254"/>
  <c r="F17" i="33254"/>
  <c r="C20" i="33258" s="1"/>
  <c r="F46" i="33262"/>
  <c r="K46" i="33262" s="1"/>
  <c r="F83" i="3"/>
  <c r="K83" i="3" s="1"/>
  <c r="K84" i="3"/>
  <c r="F53" i="1027" s="1"/>
  <c r="I53" i="1027" s="1"/>
  <c r="A530" i="33253" s="1"/>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6" i="1027" s="1"/>
  <c r="G40" i="1027"/>
  <c r="A189" i="33253"/>
  <c r="AD18" i="33254"/>
  <c r="AD19" i="33254" s="1"/>
  <c r="AH19" i="33254" s="1"/>
  <c r="F50" i="33254"/>
  <c r="C35" i="33258" s="1"/>
  <c r="A726" i="33253"/>
  <c r="H47" i="33257"/>
  <c r="A563" i="33253"/>
  <c r="H50" i="33254"/>
  <c r="E35" i="33258" s="1"/>
  <c r="D42" i="33259"/>
  <c r="C42" i="33259" s="1"/>
  <c r="G50" i="33254"/>
  <c r="D35" i="33258" s="1"/>
  <c r="A540" i="33253"/>
  <c r="D20" i="33258"/>
  <c r="A562" i="33253"/>
  <c r="S94" i="33254"/>
  <c r="A565" i="33253" s="1"/>
  <c r="W43" i="33254"/>
  <c r="Y43" i="33254"/>
  <c r="K45" i="3"/>
  <c r="L36" i="1027" s="1"/>
  <c r="G36" i="1027"/>
  <c r="N51" i="33257"/>
  <c r="R49" i="33257" s="1"/>
  <c r="A552" i="33253"/>
  <c r="P98" i="33254"/>
  <c r="F39" i="33257"/>
  <c r="D50" i="33254"/>
  <c r="A339" i="33253" s="1"/>
  <c r="A340" i="33253" s="1"/>
  <c r="A555" i="33253"/>
  <c r="Z17" i="1027" l="1"/>
  <c r="F18" i="1027"/>
  <c r="H51" i="33262" s="1"/>
  <c r="H52" i="33262" s="1"/>
  <c r="A539" i="33253"/>
  <c r="F26" i="33262"/>
  <c r="H28" i="33262" s="1"/>
  <c r="F31" i="33261" s="1"/>
  <c r="K48" i="33262"/>
  <c r="Z12" i="1027"/>
  <c r="Z13" i="1027" s="1"/>
  <c r="Z20" i="1027"/>
  <c r="Z22" i="1027" s="1"/>
  <c r="Z23" i="1027" s="1"/>
  <c r="L21" i="1027" s="1"/>
  <c r="L22" i="1027" s="1"/>
  <c r="Z18" i="1027"/>
  <c r="Z19" i="1027" s="1"/>
  <c r="L17" i="1027" s="1"/>
  <c r="L18" i="1027" s="1"/>
  <c r="G10" i="33258"/>
  <c r="Q49" i="33257"/>
  <c r="Q49" i="33261"/>
  <c r="K57" i="33261"/>
  <c r="R49" i="33261"/>
  <c r="L40" i="1027"/>
  <c r="A518" i="33253" s="1"/>
  <c r="G58" i="1027"/>
  <c r="F38" i="33257"/>
  <c r="C22" i="33258"/>
  <c r="A208" i="33253"/>
  <c r="A199" i="33253"/>
  <c r="G39" i="1027"/>
  <c r="C23" i="33258"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AH14" i="33259"/>
  <c r="G9" i="33258"/>
  <c r="AH8" i="33259"/>
  <c r="A193" i="33253"/>
  <c r="S98" i="33254"/>
  <c r="S100" i="33254"/>
  <c r="Z43" i="33254"/>
  <c r="J83" i="3"/>
  <c r="K80" i="3" s="1"/>
  <c r="K57" i="33257"/>
  <c r="A511" i="33253" s="1"/>
  <c r="AG13" i="1027"/>
  <c r="K39" i="33257"/>
  <c r="A484" i="33253"/>
  <c r="H49" i="1027" l="1"/>
  <c r="A175" i="33253" s="1"/>
  <c r="Z14" i="1027"/>
  <c r="Z15" i="1027" s="1"/>
  <c r="Z21" i="1027"/>
  <c r="F22" i="1027"/>
  <c r="I51" i="33262" s="1"/>
  <c r="I52" i="33262" s="1"/>
  <c r="O50" i="1027"/>
  <c r="A209" i="33253"/>
  <c r="F30" i="33261"/>
  <c r="N66" i="33261" s="1"/>
  <c r="S66" i="33261" s="1"/>
  <c r="T66" i="33261" s="1"/>
  <c r="F30" i="33257"/>
  <c r="A480" i="33253"/>
  <c r="O104" i="33254"/>
  <c r="A194" i="33253"/>
  <c r="L39" i="1027"/>
  <c r="A198" i="33253" s="1"/>
  <c r="O106" i="33254"/>
  <c r="S106" i="33254" s="1"/>
  <c r="H47" i="1027"/>
  <c r="O47" i="1027" s="1"/>
  <c r="L10" i="1027"/>
  <c r="AG9" i="1027"/>
  <c r="O49" i="1027"/>
  <c r="A203" i="33253"/>
  <c r="A560" i="33253"/>
  <c r="N52" i="33257"/>
  <c r="L86" i="1027"/>
  <c r="I52" i="1027"/>
  <c r="G59" i="1027"/>
  <c r="A486" i="33253"/>
  <c r="L39" i="33257"/>
  <c r="A596" i="33253" l="1"/>
  <c r="S104" i="33254"/>
  <c r="A529" i="33253"/>
  <c r="N50" i="33261"/>
  <c r="A517" i="33253"/>
  <c r="A173" i="33253"/>
  <c r="K59" i="33257"/>
  <c r="A512" i="33253" s="1"/>
  <c r="R50" i="33257"/>
  <c r="G486" i="33253"/>
  <c r="A487" i="33253"/>
  <c r="A215" i="33253"/>
  <c r="Z70" i="33254"/>
  <c r="A470" i="33253"/>
  <c r="N66" i="33257"/>
  <c r="S66" i="33257" s="1"/>
  <c r="T66" i="33257" s="1"/>
  <c r="A600" i="33253" l="1"/>
  <c r="N50" i="33257"/>
  <c r="K55" i="33257" s="1"/>
  <c r="K55" i="33261" l="1"/>
  <c r="R88" i="33261"/>
  <c r="R43" i="33257"/>
  <c r="AG15" i="1027" l="1"/>
  <c r="V27" i="1027" l="1"/>
  <c r="R17" i="33259" s="1"/>
  <c r="Q20" i="1027" l="1"/>
  <c r="AN24" i="1027" l="1"/>
  <c r="I50" i="1027"/>
  <c r="A522" i="33253" s="1"/>
  <c r="AD20" i="1027"/>
  <c r="AL20" i="1027" l="1"/>
  <c r="Q16" i="1027"/>
  <c r="I12" i="33258"/>
  <c r="H12" i="33258"/>
  <c r="I49" i="1027" l="1"/>
  <c r="AD16" i="1027"/>
  <c r="H11" i="33258" l="1"/>
  <c r="I11" i="33258"/>
  <c r="A521" i="33253"/>
  <c r="AG11" i="1027" l="1"/>
  <c r="K73" i="33254" l="1"/>
  <c r="L84" i="1027"/>
  <c r="A492" i="33253"/>
  <c r="K62" i="3"/>
  <c r="K47" i="3" l="1"/>
  <c r="K38" i="33262" s="1"/>
  <c r="K70" i="33257" l="1"/>
  <c r="K70" i="33261"/>
  <c r="Q60" i="33261" l="1"/>
  <c r="R60" i="33261"/>
  <c r="AL8" i="1027" l="1"/>
  <c r="AL45" i="1027" s="1"/>
  <c r="H45" i="33257" l="1"/>
  <c r="H31" i="33257"/>
  <c r="A475" i="33253" s="1"/>
  <c r="A497" i="33253"/>
  <c r="H45" i="33261"/>
  <c r="F43" i="33257" l="1"/>
  <c r="F43" i="33261"/>
  <c r="G56" i="3"/>
  <c r="A535" i="33253" l="1"/>
  <c r="H43" i="33257"/>
  <c r="A536" i="33253" s="1"/>
  <c r="H43" i="33261"/>
  <c r="K43" i="33261" s="1"/>
  <c r="L88" i="33261" s="1"/>
  <c r="K43" i="33257" l="1"/>
  <c r="L43" i="33257" l="1"/>
  <c r="A537" i="33253"/>
  <c r="A538" i="33253" s="1"/>
  <c r="L34" i="1027" l="1"/>
  <c r="W2" i="1027" s="1"/>
  <c r="K30" i="33257"/>
  <c r="L30" i="33257" s="1"/>
  <c r="X20" i="1027" l="1"/>
  <c r="X16" i="1027"/>
  <c r="X12" i="1027"/>
  <c r="X8" i="1027"/>
  <c r="A188" i="33253"/>
  <c r="AN5" i="1027"/>
  <c r="AN7" i="1027" s="1"/>
  <c r="AN43" i="1027" s="1"/>
  <c r="A472" i="33253"/>
  <c r="A473" i="33253" s="1"/>
  <c r="N20" i="1027"/>
  <c r="O20" i="1027" s="1"/>
  <c r="P20" i="1027" s="1"/>
  <c r="J50" i="1027" s="1"/>
  <c r="A527" i="33253" s="1"/>
  <c r="AG10" i="1027"/>
  <c r="AA14" i="1027"/>
  <c r="AA15" i="1027" s="1"/>
  <c r="AA10" i="1027"/>
  <c r="AA11" i="1027" s="1"/>
  <c r="J9" i="1027" s="1"/>
  <c r="AA18" i="1027"/>
  <c r="AA19" i="1027" s="1"/>
  <c r="J17" i="1027" s="1"/>
  <c r="N24" i="1027"/>
  <c r="AG22" i="1027"/>
  <c r="AA22" i="1027"/>
  <c r="AA23" i="1027" s="1"/>
  <c r="AG18" i="1027"/>
  <c r="AG14" i="1027"/>
  <c r="AH12" i="33259"/>
  <c r="AH15" i="33259" s="1"/>
  <c r="AH17" i="33259" s="1"/>
  <c r="AD21" i="33259" s="1"/>
  <c r="Y34" i="33259" l="1"/>
  <c r="X33" i="33259"/>
  <c r="Y33" i="33259"/>
  <c r="X34" i="33259"/>
  <c r="J18" i="1027"/>
  <c r="G49" i="1027"/>
  <c r="N16" i="1027"/>
  <c r="O16" i="1027" s="1"/>
  <c r="P16" i="1027" s="1"/>
  <c r="J49" i="1027" s="1"/>
  <c r="A526" i="33253" s="1"/>
  <c r="Y9" i="1027"/>
  <c r="X9" i="1027"/>
  <c r="F14" i="1027"/>
  <c r="G51" i="33262" s="1"/>
  <c r="G52" i="33262" s="1"/>
  <c r="K52" i="33262" s="1"/>
  <c r="Y13" i="1027"/>
  <c r="X14" i="1027" s="1"/>
  <c r="X15" i="1027" s="1"/>
  <c r="L13" i="1027" s="1"/>
  <c r="X13" i="1027"/>
  <c r="X17" i="1027"/>
  <c r="Y17" i="1027"/>
  <c r="X21" i="1027"/>
  <c r="Y21" i="1027"/>
  <c r="X22" i="1027" s="1"/>
  <c r="X23" i="1027" s="1"/>
  <c r="J10" i="1027"/>
  <c r="G47" i="1027"/>
  <c r="N8" i="1027"/>
  <c r="AD58" i="33254" s="1"/>
  <c r="W34" i="33259"/>
  <c r="V34" i="33259"/>
  <c r="W33" i="33259"/>
  <c r="V33" i="33259"/>
  <c r="AN45" i="1027"/>
  <c r="AN44" i="1027"/>
  <c r="AE36" i="33254" s="1"/>
  <c r="U34" i="33259"/>
  <c r="R18" i="33259"/>
  <c r="T34" i="33259"/>
  <c r="S33" i="33259"/>
  <c r="U33" i="33259"/>
  <c r="T33" i="33259"/>
  <c r="S34" i="33259"/>
  <c r="R34" i="33259"/>
  <c r="R33" i="33259"/>
  <c r="S18" i="33259"/>
  <c r="AG58" i="33254"/>
  <c r="L50" i="1027"/>
  <c r="AD33" i="33254"/>
  <c r="AD34" i="33254" s="1"/>
  <c r="AG33" i="33254"/>
  <c r="AG34" i="33254" s="1"/>
  <c r="AE33" i="33254"/>
  <c r="AE34" i="33254" s="1"/>
  <c r="AH33" i="33254"/>
  <c r="AF33" i="33254"/>
  <c r="AF34" i="33254" s="1"/>
  <c r="AH58" i="33254"/>
  <c r="L51" i="1027"/>
  <c r="O51" i="1027"/>
  <c r="N51" i="1027"/>
  <c r="Q8" i="1027" l="1"/>
  <c r="X18" i="1027"/>
  <c r="X19" i="1027" s="1"/>
  <c r="Y18" i="1027" s="1"/>
  <c r="Y19" i="1027" s="1"/>
  <c r="AF58" i="33254"/>
  <c r="K56" i="33262"/>
  <c r="F29" i="33262"/>
  <c r="X10" i="1027"/>
  <c r="X11" i="1027" s="1"/>
  <c r="Y10" i="1027" s="1"/>
  <c r="Y11" i="1027" s="1"/>
  <c r="Y22" i="1027"/>
  <c r="Y23" i="1027" s="1"/>
  <c r="L49" i="1027"/>
  <c r="A170" i="33253"/>
  <c r="N49" i="1027"/>
  <c r="L14" i="1027"/>
  <c r="H48" i="1027"/>
  <c r="L27" i="1027"/>
  <c r="L47" i="1027"/>
  <c r="O8" i="1027"/>
  <c r="P8" i="1027" s="1"/>
  <c r="J47" i="1027" s="1"/>
  <c r="A168" i="33253"/>
  <c r="N47" i="1027"/>
  <c r="Y14" i="1027"/>
  <c r="Y15" i="1027" s="1"/>
  <c r="J13" i="1027" s="1"/>
  <c r="N12" i="1027" s="1"/>
  <c r="Q12" i="1027" s="1"/>
  <c r="Q27" i="1027" s="1"/>
  <c r="AF35" i="33254"/>
  <c r="AD36" i="33254"/>
  <c r="AD37" i="33254" s="1"/>
  <c r="AE35" i="33254"/>
  <c r="AF36" i="33254"/>
  <c r="AF37" i="33254" s="1"/>
  <c r="AH35" i="33254"/>
  <c r="AD35" i="33254"/>
  <c r="AG35" i="33254"/>
  <c r="AH34" i="33254"/>
  <c r="AG36" i="33254"/>
  <c r="AG37" i="33254" s="1"/>
  <c r="F34" i="33259"/>
  <c r="E41" i="33259" s="1"/>
  <c r="F35" i="33259"/>
  <c r="A724" i="33253" s="1"/>
  <c r="AE37" i="33254"/>
  <c r="A792" i="33253"/>
  <c r="H34" i="33259"/>
  <c r="A791" i="33253"/>
  <c r="H35" i="33259"/>
  <c r="A725" i="33253" s="1"/>
  <c r="I47" i="1027"/>
  <c r="AD8" i="1027"/>
  <c r="F31" i="33262" l="1"/>
  <c r="H31" i="33261" s="1"/>
  <c r="I48" i="1027"/>
  <c r="A520" i="33253" s="1"/>
  <c r="AD12" i="1027"/>
  <c r="I10" i="33258" s="1"/>
  <c r="K31" i="33261"/>
  <c r="A722" i="33253"/>
  <c r="J14" i="1027"/>
  <c r="G48" i="1027"/>
  <c r="J27" i="1027"/>
  <c r="P63" i="1027" s="1"/>
  <c r="L48" i="1027"/>
  <c r="L54" i="1027" s="1"/>
  <c r="O12" i="1027"/>
  <c r="P12" i="1027" s="1"/>
  <c r="N27" i="1027"/>
  <c r="AE58" i="33254"/>
  <c r="AI58" i="33254" s="1"/>
  <c r="AF62" i="33254" s="1"/>
  <c r="Z57" i="83"/>
  <c r="AD55" i="83"/>
  <c r="Z58" i="83"/>
  <c r="Z56" i="83"/>
  <c r="AD58" i="83"/>
  <c r="Z55" i="83"/>
  <c r="A179" i="33253"/>
  <c r="AD57" i="83"/>
  <c r="AD56" i="83"/>
  <c r="A174" i="33253"/>
  <c r="O48" i="1027"/>
  <c r="O52" i="1027" s="1"/>
  <c r="H54" i="1027"/>
  <c r="AH36" i="33254"/>
  <c r="E42" i="33259"/>
  <c r="E40" i="33259"/>
  <c r="AH37" i="33254"/>
  <c r="AH38" i="33254" s="1"/>
  <c r="H42" i="33257" s="1"/>
  <c r="F42" i="33257" s="1"/>
  <c r="A723" i="33253"/>
  <c r="H46" i="33257"/>
  <c r="C41" i="33259"/>
  <c r="H46" i="33261"/>
  <c r="A524" i="33253"/>
  <c r="I9" i="33258"/>
  <c r="H9" i="33258"/>
  <c r="A519" i="33253"/>
  <c r="AI63" i="33254"/>
  <c r="AI67" i="33254" s="1"/>
  <c r="I54" i="1027"/>
  <c r="H10" i="33258" l="1"/>
  <c r="Q28" i="1027"/>
  <c r="Q29" i="1027" s="1"/>
  <c r="K42" i="33257"/>
  <c r="A533" i="33253" s="1"/>
  <c r="A534" i="33253" s="1"/>
  <c r="O27" i="1027"/>
  <c r="AE62" i="33254"/>
  <c r="AG62" i="33254"/>
  <c r="AD62" i="33254"/>
  <c r="Y55" i="83"/>
  <c r="AA55" i="83" s="1"/>
  <c r="Y56" i="83"/>
  <c r="AA56" i="83" s="1"/>
  <c r="AC58" i="83"/>
  <c r="AE58" i="83" s="1"/>
  <c r="A178" i="33253"/>
  <c r="AC56" i="83"/>
  <c r="AE56" i="83" s="1"/>
  <c r="AC55" i="83"/>
  <c r="AE55" i="83" s="1"/>
  <c r="AC57" i="83"/>
  <c r="AE57" i="83" s="1"/>
  <c r="Y58" i="83"/>
  <c r="AA58" i="83" s="1"/>
  <c r="Y57" i="83"/>
  <c r="AA57" i="83" s="1"/>
  <c r="I28" i="1027"/>
  <c r="A169" i="33253"/>
  <c r="N48" i="1027"/>
  <c r="N52" i="1027" s="1"/>
  <c r="G54" i="1027"/>
  <c r="F58" i="1027" s="1"/>
  <c r="J48" i="1027"/>
  <c r="P27" i="1027"/>
  <c r="Q18" i="33254"/>
  <c r="O18" i="33254"/>
  <c r="R18" i="33254"/>
  <c r="P18" i="33254"/>
  <c r="M19" i="33254"/>
  <c r="H42" i="33261"/>
  <c r="F42" i="33261" s="1"/>
  <c r="H56" i="3"/>
  <c r="I56" i="3" s="1"/>
  <c r="H121" i="33254"/>
  <c r="A694" i="33253"/>
  <c r="A532" i="33253"/>
  <c r="A531" i="33253"/>
  <c r="A693" i="33253"/>
  <c r="AI70" i="33254"/>
  <c r="AI69" i="33254"/>
  <c r="L42" i="33257" l="1"/>
  <c r="A695" i="33253"/>
  <c r="A696" i="33253" s="1"/>
  <c r="K42" i="33261"/>
  <c r="L87" i="33261" s="1"/>
  <c r="AI62" i="33254"/>
  <c r="AH87" i="83" s="1"/>
  <c r="AE59" i="83"/>
  <c r="AA60" i="83" s="1"/>
  <c r="AA59" i="83"/>
  <c r="Q103" i="33254"/>
  <c r="R103" i="33254"/>
  <c r="P15" i="33254"/>
  <c r="A582" i="33253" s="1"/>
  <c r="P103" i="33254"/>
  <c r="Q15" i="33254"/>
  <c r="A583" i="33253" s="1"/>
  <c r="O15" i="33254"/>
  <c r="R15" i="33254"/>
  <c r="A584" i="33253" s="1"/>
  <c r="O103" i="33254"/>
  <c r="P19" i="33254"/>
  <c r="A587" i="33253"/>
  <c r="A586" i="33253"/>
  <c r="S18" i="33254"/>
  <c r="O19" i="33254"/>
  <c r="R19" i="33254"/>
  <c r="A589" i="33253"/>
  <c r="A588" i="33253"/>
  <c r="Q19" i="33254"/>
  <c r="A525" i="33253"/>
  <c r="J54" i="1027"/>
  <c r="J44" i="1027" l="1"/>
  <c r="A222" i="33253" s="1"/>
  <c r="I87" i="1027"/>
  <c r="AI71" i="33254"/>
  <c r="AE61" i="83"/>
  <c r="S19" i="33254"/>
  <c r="Q105" i="33254"/>
  <c r="A593" i="33253"/>
  <c r="A591" i="33253"/>
  <c r="O105" i="33254"/>
  <c r="S103" i="33254"/>
  <c r="A581" i="33253"/>
  <c r="S15" i="33254"/>
  <c r="A592" i="33253"/>
  <c r="P105" i="33254"/>
  <c r="R105" i="33254"/>
  <c r="A594" i="33253"/>
  <c r="A590" i="33253"/>
  <c r="N49" i="33261"/>
  <c r="N49" i="33257"/>
  <c r="I44" i="1027"/>
  <c r="A221" i="33253" s="1"/>
  <c r="H44" i="1027"/>
  <c r="A220" i="33253" s="1"/>
  <c r="I117" i="33254" l="1"/>
  <c r="I53" i="3"/>
  <c r="A509" i="33253"/>
  <c r="A585" i="33253"/>
  <c r="S105" i="33254"/>
  <c r="N43" i="33257"/>
  <c r="N55" i="33257" s="1"/>
  <c r="N88" i="33261"/>
  <c r="A595" i="33253"/>
  <c r="G121" i="33254"/>
  <c r="I121" i="33254" s="1"/>
  <c r="R42" i="33257"/>
  <c r="K53" i="33257"/>
  <c r="A510" i="33253" s="1"/>
  <c r="K53" i="33261"/>
  <c r="N55" i="33261"/>
  <c r="R87" i="33261"/>
  <c r="H30" i="33257"/>
  <c r="R147" i="83" l="1"/>
  <c r="R148" i="83"/>
  <c r="R145" i="83"/>
  <c r="R152" i="83"/>
  <c r="R141" i="83"/>
  <c r="G44" i="1027" s="1"/>
  <c r="R146" i="83"/>
  <c r="R150" i="83"/>
  <c r="R143" i="83"/>
  <c r="R144" i="83"/>
  <c r="R153" i="83"/>
  <c r="R149" i="83"/>
  <c r="R151" i="83"/>
  <c r="W71" i="33254"/>
  <c r="Y71" i="33254"/>
  <c r="A345" i="33253"/>
  <c r="S71" i="33254"/>
  <c r="S72" i="33254"/>
  <c r="R86" i="33261"/>
  <c r="Q88" i="33261" s="1"/>
  <c r="K51" i="33261"/>
  <c r="R41" i="33257"/>
  <c r="Q43" i="33257" s="1"/>
  <c r="K51" i="33257"/>
  <c r="N65" i="33257"/>
  <c r="S65" i="33257" s="1"/>
  <c r="A471" i="33253"/>
  <c r="N57" i="33257"/>
  <c r="N63" i="33257"/>
  <c r="L44" i="1027" l="1"/>
  <c r="A219" i="33253"/>
  <c r="S73" i="33254"/>
  <c r="S75" i="33254" s="1"/>
  <c r="N58" i="33261"/>
  <c r="N58" i="33257"/>
  <c r="K65" i="33257" s="1"/>
  <c r="A515" i="33253" s="1"/>
  <c r="N59" i="33257"/>
  <c r="S39" i="33257" s="1"/>
  <c r="N59" i="33261"/>
  <c r="Z71" i="33254"/>
  <c r="Q87" i="33261"/>
  <c r="Q86" i="33261"/>
  <c r="Q42" i="33257"/>
  <c r="Q41" i="33257"/>
  <c r="R60" i="33257"/>
  <c r="K68" i="33257"/>
  <c r="T65" i="33257"/>
  <c r="S40" i="33257" l="1"/>
  <c r="Q60" i="33257"/>
  <c r="G87" i="1027"/>
  <c r="L87" i="1027" s="1"/>
  <c r="I58" i="1027"/>
  <c r="N60" i="33257"/>
  <c r="N61" i="33257"/>
  <c r="S38" i="33257" s="1"/>
  <c r="S37" i="33257" s="1"/>
  <c r="K67" i="33257"/>
  <c r="A516" i="33253" s="1"/>
  <c r="K65" i="33261"/>
  <c r="N61" i="33261"/>
  <c r="K67" i="33261"/>
  <c r="I59" i="1027"/>
  <c r="Z72" i="33254"/>
  <c r="Z73" i="33254" s="1"/>
  <c r="H38" i="33261" l="1"/>
  <c r="K38" i="33261" s="1"/>
  <c r="L83" i="33261" s="1"/>
  <c r="H38" i="33257"/>
  <c r="S60" i="33257"/>
  <c r="T60" i="33257" s="1"/>
  <c r="BR75" i="83"/>
  <c r="L58" i="1027"/>
  <c r="A210" i="33253"/>
  <c r="H30" i="33261"/>
  <c r="E119" i="33254"/>
  <c r="F54" i="3"/>
  <c r="I54" i="3" s="1"/>
  <c r="L59" i="1027"/>
  <c r="A217" i="33253" s="1"/>
  <c r="A218" i="33253" s="1"/>
  <c r="A216" i="33253"/>
  <c r="F40" i="33257" l="1"/>
  <c r="K40" i="33257" s="1"/>
  <c r="L40" i="33257" s="1"/>
  <c r="F40" i="33261"/>
  <c r="K40" i="33261" s="1"/>
  <c r="L85" i="33261" s="1"/>
  <c r="A481" i="33253"/>
  <c r="K38" i="33257"/>
  <c r="N57" i="33261"/>
  <c r="N63" i="33261"/>
  <c r="N65" i="33261"/>
  <c r="S65" i="33261" s="1"/>
  <c r="K30" i="33261"/>
  <c r="L75" i="33261" s="1"/>
  <c r="N58" i="1027"/>
  <c r="A211" i="33253"/>
  <c r="A212" i="33253" s="1"/>
  <c r="A347" i="33253"/>
  <c r="I119" i="33254"/>
  <c r="A348" i="33253" s="1"/>
  <c r="A349" i="33253" s="1"/>
  <c r="A482" i="33253" l="1"/>
  <c r="A483" i="33253" s="1"/>
  <c r="L38" i="33257"/>
  <c r="T65" i="33261"/>
  <c r="S83" i="33261"/>
  <c r="S82" i="33261" s="1"/>
  <c r="K68" i="33261"/>
  <c r="N60" i="33261"/>
  <c r="S85" i="33261"/>
  <c r="S84" i="33261"/>
  <c r="S60" i="33261" l="1"/>
  <c r="T60" i="33261"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0" authorId="0" shapeId="0">
      <text>
        <r>
          <rPr>
            <b/>
            <sz val="9"/>
            <color indexed="81"/>
            <rFont val="Segoe UI"/>
            <charset val="1"/>
          </rPr>
          <t xml:space="preserve">Anrechenbare Gebäudefläche, </t>
        </r>
        <r>
          <rPr>
            <sz val="9"/>
            <color indexed="81"/>
            <rFont val="Segoe UI"/>
            <family val="2"/>
          </rPr>
          <t xml:space="preserve">projizierte Fassadenlinie. Definition siehe Vollzugshilfe EN-Solar BE.
</t>
        </r>
        <r>
          <rPr>
            <b/>
            <sz val="9"/>
            <color indexed="81"/>
            <rFont val="Segoe UI"/>
            <family val="2"/>
          </rPr>
          <t>Surface déterminante de construction</t>
        </r>
        <r>
          <rPr>
            <sz val="9"/>
            <color indexed="81"/>
            <rFont val="Segoe UI"/>
            <family val="2"/>
          </rPr>
          <t>, projection du pied de façade. Définition voir aide à l’application EN-Solaire BE.</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 xml:space="preserve">Amyèl Domigall </author>
  </authors>
  <commentList>
    <comment ref="B23" authorId="0"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<sst xmlns="http://schemas.openxmlformats.org/spreadsheetml/2006/main" count="9223" uniqueCount="5322">
  <si>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</si>
  <si>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</si>
  <si>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</si>
  <si>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</si>
  <si>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</si>
  <si>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</si>
  <si>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</si>
  <si>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</si>
  <si>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</si>
  <si>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</si>
  <si>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</si>
  <si>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</si>
  <si>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</si>
  <si>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</si>
  <si>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</si>
  <si>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</si>
  <si>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</si>
  <si>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</si>
  <si>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</si>
  <si>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</si>
  <si>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</si>
  <si>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</si>
  <si>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</si>
  <si>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</si>
  <si>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</si>
  <si>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</si>
  <si>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</si>
  <si>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</si>
  <si>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</si>
  <si>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</si>
  <si>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</si>
  <si>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</si>
  <si>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</si>
  <si>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</si>
  <si>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</si>
  <si>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</si>
  <si>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</si>
  <si>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</si>
  <si>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</si>
  <si>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</si>
  <si>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</si>
  <si>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</si>
  <si>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</si>
  <si>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</si>
  <si>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</si>
  <si>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</si>
  <si>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</si>
  <si>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</si>
  <si>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</si>
  <si>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</si>
  <si>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</si>
  <si>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</si>
  <si>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</si>
  <si>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</si>
  <si>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</si>
  <si>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</si>
  <si>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</si>
  <si>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</si>
  <si>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</si>
  <si>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</si>
  <si>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</si>
  <si>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</si>
  <si>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</si>
  <si>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</si>
  <si>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</si>
  <si>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</si>
  <si>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</si>
  <si>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</si>
  <si>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</si>
  <si>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</si>
  <si>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</si>
  <si>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</si>
  <si>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</si>
  <si>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</si>
  <si>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</si>
  <si>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</si>
  <si>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</si>
  <si>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</si>
  <si>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</si>
  <si>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</si>
  <si>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</si>
  <si>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</si>
  <si>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</si>
  <si>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</si>
  <si>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</si>
  <si>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</si>
  <si>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</si>
  <si>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</si>
  <si>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</si>
  <si>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</si>
  <si>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</si>
  <si>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</si>
  <si>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</si>
  <si>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</si>
  <si>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</si>
  <si>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</si>
  <si>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</si>
  <si>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</si>
  <si>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</si>
  <si>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</si>
  <si>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</si>
  <si>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</si>
  <si>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</si>
  <si>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</si>
  <si>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</si>
  <si>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</si>
  <si>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</si>
  <si>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</si>
  <si>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</si>
  <si>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</si>
  <si>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</si>
  <si>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</si>
  <si>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</si>
  <si>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</si>
  <si>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</si>
  <si>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</si>
  <si>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</si>
  <si>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</si>
  <si>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</si>
  <si>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</si>
  <si>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</si>
  <si>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</si>
  <si>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</si>
  <si>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</si>
  <si>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</si>
  <si>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</si>
  <si>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</si>
  <si>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</si>
  <si>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</si>
  <si>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</si>
  <si>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</si>
  <si>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</si>
  <si>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</si>
  <si>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</si>
  <si>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</si>
  <si>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</si>
  <si>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</si>
  <si>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</si>
  <si>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</si>
  <si>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</si>
  <si>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</si>
  <si>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</si>
  <si>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</si>
  <si>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</si>
  <si>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</si>
  <si>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</si>
  <si>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</si>
  <si>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</si>
  <si>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</si>
  <si>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</si>
  <si>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</si>
  <si>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</si>
  <si>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</si>
  <si>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</si>
  <si>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</si>
  <si>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</si>
  <si>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</si>
  <si>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</si>
  <si>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</si>
  <si>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</si>
  <si>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</si>
  <si>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</si>
  <si>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</si>
  <si>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</si>
  <si>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</si>
  <si>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</si>
  <si>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</si>
  <si>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</si>
  <si>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</si>
  <si>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</si>
  <si>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</si>
  <si>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</si>
  <si>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</si>
  <si>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</si>
  <si>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</si>
  <si>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</si>
  <si>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</si>
  <si>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</si>
  <si>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</si>
  <si>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</si>
  <si>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</si>
  <si>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</si>
  <si>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</si>
  <si>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</si>
  <si>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</si>
  <si>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</si>
  <si>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</si>
  <si>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</si>
  <si>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</si>
  <si>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</si>
  <si>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</si>
  <si>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</si>
  <si>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</si>
  <si>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</si>
  <si>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</si>
  <si>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</si>
  <si>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</si>
  <si>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</si>
  <si>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</si>
  <si>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</si>
  <si>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</si>
  <si>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</si>
  <si>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</si>
  <si>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</si>
  <si>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</si>
  <si>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</si>
  <si>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</si>
  <si>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</si>
  <si>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</si>
  <si>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</si>
  <si>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</si>
  <si>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</si>
  <si>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</si>
  <si>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</si>
  <si>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</si>
  <si>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</si>
  <si>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</si>
  <si>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</si>
  <si>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</si>
  <si>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</si>
  <si>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</si>
  <si>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</si>
  <si>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</si>
  <si>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</si>
  <si>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</si>
  <si>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</si>
  <si>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</si>
  <si>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</si>
  <si>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</si>
  <si>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</si>
  <si>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</si>
  <si>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</si>
  <si>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</si>
  <si>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</si>
  <si>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</si>
  <si>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</si>
  <si>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</si>
  <si>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</si>
  <si>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</si>
  <si>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</si>
  <si>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</si>
  <si>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</si>
  <si>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</si>
  <si>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</si>
  <si>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</si>
  <si>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</si>
  <si>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</si>
  <si>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</si>
  <si>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</si>
  <si>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</si>
  <si>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</si>
  <si>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</si>
  <si>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</si>
  <si>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</si>
  <si>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</si>
  <si>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</si>
  <si>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</si>
  <si>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</si>
  <si>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</si>
  <si>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</si>
  <si>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</si>
  <si>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</si>
  <si>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</si>
  <si>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</si>
  <si>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</si>
  <si>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</si>
  <si>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</si>
  <si>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</si>
  <si>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</si>
  <si>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</si>
  <si>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</si>
  <si>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</si>
  <si>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</si>
  <si>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</si>
  <si>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</si>
  <si>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</si>
  <si>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</si>
  <si>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</si>
  <si>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</si>
  <si>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</si>
  <si>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</si>
  <si>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</si>
  <si>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</si>
  <si>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</si>
  <si>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</si>
  <si>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</si>
  <si>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</si>
  <si>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</si>
  <si>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</si>
  <si>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</si>
  <si>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</si>
  <si>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</si>
  <si>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</si>
  <si>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</si>
  <si>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</si>
  <si>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</si>
  <si>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</si>
  <si>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</si>
  <si>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</si>
  <si>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</si>
  <si>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</si>
  <si>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</si>
  <si>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</si>
  <si>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</si>
  <si>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</si>
  <si>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</si>
  <si>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</si>
  <si>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</si>
  <si>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</si>
  <si>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</si>
  <si>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</si>
  <si>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</si>
  <si>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</si>
  <si>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</si>
  <si>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</si>
  <si>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</si>
  <si>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</si>
  <si>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</si>
  <si>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</si>
  <si>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</si>
  <si>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</si>
  <si>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</si>
  <si>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</si>
  <si>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</si>
  <si>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</si>
  <si>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</si>
  <si>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</si>
  <si>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</si>
  <si>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</si>
  <si>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</si>
  <si>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</si>
  <si>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</si>
  <si>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</si>
  <si>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</si>
  <si>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</si>
  <si>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</si>
  <si>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</si>
  <si>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</si>
  <si>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</si>
  <si>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</si>
  <si>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</si>
  <si>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</si>
  <si>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</si>
  <si>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</si>
  <si>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</si>
  <si>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</si>
  <si>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</si>
  <si>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</si>
  <si>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</si>
  <si>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</si>
  <si>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</si>
  <si>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</si>
  <si>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</si>
  <si>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</si>
  <si>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</si>
  <si>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</si>
  <si>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</si>
  <si>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</si>
  <si>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</si>
  <si>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</si>
  <si>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</si>
  <si>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</si>
  <si>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</si>
  <si>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</si>
  <si>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</si>
  <si>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</si>
  <si>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</si>
  <si>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</si>
  <si>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</si>
  <si>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</si>
  <si>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</si>
  <si>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</si>
  <si>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</si>
  <si>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</si>
  <si>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</si>
  <si>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</si>
  <si>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</si>
  <si>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</si>
  <si>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</si>
  <si>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</si>
  <si>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</si>
  <si>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</si>
  <si>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</si>
  <si>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</si>
  <si>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</si>
  <si>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</si>
  <si>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</si>
  <si>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</si>
  <si>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</si>
  <si>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</si>
  <si>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</si>
  <si>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</si>
  <si>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</si>
  <si>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</si>
  <si>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</si>
  <si>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</si>
  <si>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</si>
  <si>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</si>
  <si>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</si>
  <si>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</si>
  <si>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</si>
  <si>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</si>
  <si>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</si>
  <si>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</si>
  <si>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</si>
  <si>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</si>
  <si>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</si>
  <si>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</si>
  <si>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</si>
  <si>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</si>
  <si>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</si>
  <si>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</si>
  <si>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</si>
  <si>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</si>
  <si>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</si>
  <si>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</si>
  <si>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</si>
  <si>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</si>
  <si>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</si>
  <si>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</si>
  <si>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</si>
  <si>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</si>
  <si>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</si>
  <si>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</si>
  <si>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</si>
  <si>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</si>
  <si>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</si>
  <si>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</si>
  <si>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</si>
  <si>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</si>
  <si>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</si>
  <si>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</si>
  <si>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</si>
  <si>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</si>
  <si>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</si>
  <si>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</si>
  <si>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</si>
  <si>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</si>
  <si>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</si>
  <si>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</si>
  <si>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</si>
  <si>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</si>
  <si>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</si>
  <si>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</si>
  <si>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</si>
  <si>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</si>
  <si>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</si>
  <si>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</si>
  <si>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</si>
  <si>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</si>
  <si>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</si>
  <si>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</si>
  <si>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</si>
  <si>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</si>
  <si>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</si>
  <si>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</si>
  <si>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</si>
  <si>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</si>
  <si>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</si>
  <si>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</si>
  <si>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</si>
  <si>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</si>
  <si>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</si>
  <si>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</si>
  <si>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</si>
  <si>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</si>
  <si>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</si>
  <si>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</si>
  <si>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</si>
  <si>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</si>
  <si>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</si>
  <si>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</si>
  <si>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</si>
  <si>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</si>
  <si>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</si>
  <si>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</si>
  <si>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</si>
  <si>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</si>
  <si>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</si>
  <si>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</si>
  <si>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</si>
  <si>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</si>
  <si>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</si>
  <si>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</si>
  <si>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</si>
  <si>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</si>
  <si>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</si>
  <si>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</si>
  <si>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</si>
  <si>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</si>
  <si>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</si>
  <si>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</si>
  <si>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</si>
  <si>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</si>
  <si>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</si>
  <si>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</si>
  <si>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</si>
  <si>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</si>
  <si>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</si>
  <si>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</si>
  <si>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</si>
  <si>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</si>
  <si>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</si>
  <si>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</si>
  <si>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</si>
  <si>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</si>
  <si>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</si>
  <si>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</si>
  <si>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</si>
  <si>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</si>
  <si>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</si>
  <si>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</si>
  <si>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</si>
  <si>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</si>
  <si>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</si>
  <si>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</si>
  <si>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</si>
  <si>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</si>
  <si>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</si>
  <si>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</si>
  <si>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</si>
  <si>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</si>
  <si>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</si>
  <si>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</si>
  <si>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</si>
  <si>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</si>
  <si>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</si>
  <si>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</si>
  <si>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</si>
  <si>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</si>
  <si>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</si>
  <si>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</si>
  <si>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</si>
  <si>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</si>
  <si>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</si>
  <si>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</si>
  <si>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</si>
  <si>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</si>
  <si>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</si>
  <si>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</si>
  <si>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</si>
  <si>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</si>
  <si>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</si>
  <si>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</si>
  <si>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</si>
  <si>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</si>
  <si>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</si>
  <si>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</si>
  <si>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</si>
  <si>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</si>
  <si>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</si>
  <si>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</si>
  <si>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</si>
  <si>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</si>
  <si>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</si>
  <si>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</si>
  <si>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</si>
  <si>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</si>
  <si>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</si>
  <si>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</si>
  <si>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</si>
  <si>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</si>
  <si>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</si>
  <si>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</si>
  <si>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</si>
  <si>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</si>
  <si>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</si>
  <si>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</si>
  <si>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</si>
  <si>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</si>
  <si>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</si>
  <si>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</si>
  <si>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</si>
  <si>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</si>
  <si>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</si>
  <si>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</si>
  <si>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</si>
  <si>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</si>
  <si>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</si>
  <si>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</si>
  <si>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</si>
  <si>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</si>
  <si>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</si>
  <si>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</si>
  <si>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</si>
  <si>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</si>
  <si>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</si>
  <si>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</si>
  <si>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</si>
  <si>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</si>
  <si>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</si>
  <si>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</si>
  <si>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</si>
  <si>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</si>
  <si>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</si>
  <si>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</si>
  <si>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</si>
  <si>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</si>
  <si>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</si>
  <si>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</si>
  <si>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</si>
  <si>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</si>
  <si>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</si>
  <si>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</si>
  <si>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</si>
  <si>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</si>
  <si>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</si>
  <si>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</si>
  <si>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</si>
  <si>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</si>
  <si>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</si>
  <si>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</si>
  <si>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</si>
  <si>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</si>
  <si>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</si>
  <si>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</si>
  <si>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</si>
  <si>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</si>
  <si>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</si>
  <si>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</si>
  <si>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</si>
  <si>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</si>
  <si>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</si>
  <si>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</si>
  <si>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</si>
  <si>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</si>
  <si>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</si>
  <si>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</si>
  <si>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</si>
  <si>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</si>
  <si>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</si>
  <si>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</si>
  <si>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</si>
  <si>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</si>
  <si>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</si>
  <si>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</si>
  <si>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</si>
  <si>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</si>
  <si>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</si>
  <si>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</si>
  <si>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</si>
  <si>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</si>
  <si>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</si>
  <si>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</si>
  <si>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</si>
  <si>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</si>
  <si>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</si>
  <si>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</si>
  <si>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</si>
  <si>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</si>
  <si>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</si>
  <si>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</si>
  <si>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</si>
  <si>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</si>
  <si>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</si>
  <si>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</si>
  <si>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</si>
  <si>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</si>
  <si>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</si>
  <si>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</si>
  <si>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</si>
  <si>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</si>
  <si>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</si>
  <si>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</si>
  <si>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</si>
  <si>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</si>
  <si>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</si>
  <si>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</si>
  <si>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</si>
  <si>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</si>
  <si>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</si>
  <si>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</si>
  <si>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</si>
  <si>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</si>
  <si>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</si>
  <si>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</si>
  <si>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</si>
  <si>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</si>
  <si>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</si>
  <si>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</si>
  <si>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</si>
  <si>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</si>
  <si>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</si>
  <si>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</si>
  <si>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</si>
  <si>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</si>
  <si>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</si>
  <si>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</si>
  <si>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</si>
  <si>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</si>
  <si>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</si>
  <si>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</si>
  <si>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</si>
  <si>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</si>
  <si>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</si>
  <si>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</si>
  <si>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</si>
  <si>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</si>
  <si>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</si>
  <si>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</si>
  <si>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</si>
  <si>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</si>
  <si>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</si>
  <si>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</si>
  <si>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</si>
  <si>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</si>
  <si>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</si>
  <si>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</si>
  <si>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</si>
  <si>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</si>
  <si>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</si>
  <si>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</si>
  <si>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</si>
  <si>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</si>
  <si>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</si>
  <si>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</si>
  <si>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</si>
  <si>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</si>
  <si>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</si>
  <si>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</si>
  <si>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</si>
  <si>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</si>
  <si>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</si>
  <si>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</si>
  <si>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</si>
  <si>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</si>
  <si>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</si>
  <si>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</si>
  <si>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</si>
  <si>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</si>
  <si>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</si>
  <si>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</si>
  <si>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</si>
  <si>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</si>
  <si>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</si>
  <si>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</si>
  <si>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</si>
  <si>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</si>
  <si>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</si>
  <si>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</si>
  <si>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</si>
  <si>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</si>
  <si>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</si>
  <si>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</si>
  <si>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</si>
  <si>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</si>
  <si>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</si>
  <si>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</si>
  <si>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</si>
  <si>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</si>
  <si>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</si>
  <si>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</si>
  <si>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</si>
  <si>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</si>
  <si>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</si>
  <si>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</si>
  <si>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</si>
  <si>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</si>
  <si>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</si>
  <si>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</si>
  <si>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</si>
  <si>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</si>
  <si>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</si>
  <si>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</si>
  <si>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</si>
  <si>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</si>
  <si>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</si>
  <si>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</si>
  <si>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</si>
  <si>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</si>
  <si>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</si>
  <si>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</si>
  <si>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</si>
  <si>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</si>
  <si>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</si>
  <si>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</si>
  <si>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</si>
  <si>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</si>
  <si>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</si>
  <si>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</si>
  <si>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</si>
  <si>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</si>
  <si>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</si>
  <si>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</si>
  <si>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</si>
  <si>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</si>
  <si>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</si>
  <si>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</si>
  <si>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</si>
  <si>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</si>
  <si>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</si>
  <si>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</si>
  <si>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</si>
  <si>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</si>
  <si>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</si>
  <si>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</si>
  <si>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</si>
  <si>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</si>
  <si>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</si>
  <si>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</si>
  <si>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</si>
  <si>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</si>
  <si>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</si>
  <si>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</si>
  <si>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</si>
  <si>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</si>
  <si>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</si>
  <si>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</si>
  <si>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</si>
  <si>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</si>
  <si>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</si>
  <si>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</si>
  <si>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</si>
  <si>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</si>
  <si>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</si>
  <si>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</si>
  <si>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</si>
  <si>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</si>
  <si>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</si>
  <si>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</si>
  <si>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</si>
  <si>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</si>
  <si>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</si>
  <si>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</si>
  <si>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</si>
  <si>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</si>
  <si>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</si>
  <si>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</si>
  <si>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</si>
  <si>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</si>
  <si>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</si>
  <si>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</si>
  <si>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</si>
  <si>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</si>
  <si>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</si>
  <si>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</si>
  <si>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</si>
  <si>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</si>
  <si>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</si>
  <si>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</si>
  <si>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</si>
  <si>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</si>
  <si>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</si>
  <si>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</si>
  <si>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</si>
  <si>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</si>
  <si>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</si>
  <si>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</si>
  <si>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</si>
  <si>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</si>
  <si>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</si>
  <si>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</si>
  <si>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</si>
  <si>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</si>
  <si>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</si>
  <si>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</si>
  <si>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</si>
  <si>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</si>
  <si>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</si>
  <si>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</si>
  <si>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</si>
  <si>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</si>
  <si>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</si>
  <si>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</si>
  <si>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</si>
  <si>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</si>
  <si>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</si>
  <si>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</si>
  <si>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</si>
  <si>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</si>
  <si>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</si>
  <si>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</si>
  <si>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</si>
  <si>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</si>
  <si>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</si>
  <si>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</si>
  <si>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</si>
  <si>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</si>
  <si>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</si>
  <si>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</si>
  <si>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</si>
  <si>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</si>
  <si>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</si>
  <si>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</si>
  <si>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</si>
  <si>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</si>
  <si>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</si>
  <si>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</si>
  <si>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</si>
  <si>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</si>
  <si>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</si>
  <si>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</si>
  <si>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</si>
  <si>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</si>
  <si>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</si>
  <si>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</si>
  <si>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</si>
  <si>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</si>
  <si>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</si>
  <si>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</si>
  <si>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</si>
  <si>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</si>
  <si>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</si>
  <si>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</si>
  <si>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</si>
  <si>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</si>
  <si>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</si>
  <si>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</si>
  <si>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</si>
  <si>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</si>
  <si>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</si>
  <si>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</si>
  <si>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</si>
  <si>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</si>
  <si>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</si>
  <si>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</si>
  <si>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</si>
  <si>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</si>
  <si>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</si>
  <si>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</si>
  <si>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</si>
  <si>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</si>
  <si>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</si>
  <si>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</si>
  <si>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</si>
  <si>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</si>
  <si>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</si>
  <si>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</si>
  <si>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</si>
  <si>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</si>
  <si>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</si>
  <si>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</si>
  <si>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</si>
  <si>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</si>
  <si>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</si>
  <si>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</si>
  <si>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</si>
  <si>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</si>
  <si>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</si>
  <si>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</si>
  <si>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</si>
  <si>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</si>
  <si>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</si>
  <si>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</si>
  <si>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</si>
  <si>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</si>
  <si>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</si>
  <si>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</si>
  <si>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</si>
  <si>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</si>
  <si>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</si>
  <si>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</si>
  <si>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</si>
  <si>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</si>
  <si>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</si>
  <si>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</si>
  <si>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</si>
  <si>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</si>
  <si>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</si>
  <si>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</si>
  <si>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</si>
  <si>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</si>
  <si>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</si>
  <si>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</si>
  <si>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</si>
  <si>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</si>
  <si>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</si>
  <si>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</si>
  <si>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</si>
  <si>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</si>
  <si>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</si>
  <si>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</si>
  <si>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</si>
  <si>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</si>
  <si>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</si>
  <si>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</si>
  <si>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</si>
  <si>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</si>
  <si>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</si>
  <si>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</si>
  <si>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</si>
  <si>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</si>
  <si>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</si>
  <si>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</si>
  <si>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</si>
  <si>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</si>
  <si>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</si>
  <si>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</si>
  <si>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</si>
  <si>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</si>
  <si>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</si>
  <si>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</si>
  <si>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</si>
  <si>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</si>
  <si>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</si>
  <si>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</si>
  <si>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</si>
  <si>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</si>
  <si>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</si>
  <si>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</si>
  <si>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</si>
  <si>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</si>
  <si>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</si>
  <si>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</si>
  <si>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</si>
  <si>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</si>
  <si>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</si>
  <si>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</si>
  <si>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</si>
  <si>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</si>
  <si>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</si>
  <si>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</si>
  <si>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</si>
  <si>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</si>
  <si>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</si>
  <si>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</si>
  <si>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</si>
  <si>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</si>
  <si>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</si>
  <si>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</si>
  <si>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</si>
  <si>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</si>
  <si>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</si>
  <si>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</si>
  <si>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</si>
  <si>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</si>
  <si>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</si>
  <si>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</si>
  <si>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</si>
  <si>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</si>
  <si>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</si>
  <si>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</si>
  <si>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</si>
  <si>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</si>
  <si>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</si>
  <si>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</si>
  <si>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</si>
  <si>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</si>
  <si>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</si>
  <si>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</si>
  <si>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</si>
  <si>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</si>
  <si>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</si>
  <si>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</si>
  <si>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</si>
  <si>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</si>
  <si>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</si>
  <si>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</si>
  <si>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</si>
  <si>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</si>
  <si>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</si>
  <si>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</si>
  <si>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</si>
  <si>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</si>
  <si>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</si>
  <si>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</si>
  <si>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</si>
  <si>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</si>
  <si>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</si>
  <si>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</si>
  <si>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</si>
  <si>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</si>
  <si>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</si>
  <si>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</si>
  <si>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</si>
  <si>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</si>
  <si>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</si>
  <si>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</si>
  <si>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</si>
  <si>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</si>
  <si>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</si>
  <si>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</si>
  <si>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</si>
  <si>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</si>
  <si>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</si>
  <si>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</si>
  <si>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</si>
  <si>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</si>
  <si>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</si>
  <si>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</si>
  <si>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</si>
  <si>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</si>
  <si>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</si>
  <si>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</si>
  <si>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</si>
  <si>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</si>
  <si>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</si>
  <si>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</si>
  <si>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</si>
  <si>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</si>
  <si>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</si>
  <si>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</si>
  <si>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</si>
  <si>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</si>
  <si>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</si>
  <si>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</si>
  <si>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</si>
  <si>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</si>
  <si>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</si>
  <si>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</si>
  <si>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</si>
  <si>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</si>
  <si>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</si>
  <si>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</si>
  <si>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</si>
  <si>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</si>
  <si>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</si>
  <si>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</si>
  <si>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</si>
  <si>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</si>
  <si>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</si>
  <si>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</si>
  <si>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</si>
  <si>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</si>
  <si>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</si>
  <si>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</si>
  <si>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</si>
  <si>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</si>
  <si>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</si>
  <si>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</si>
  <si>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</si>
  <si>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</si>
  <si>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</si>
  <si>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</si>
  <si>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</si>
  <si>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</si>
  <si>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</si>
  <si>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</si>
  <si>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</si>
  <si>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</si>
  <si>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</si>
  <si>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</si>
  <si>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</si>
  <si>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</si>
  <si>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</si>
  <si>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</si>
  <si>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</si>
  <si>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</si>
  <si>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</si>
  <si>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</si>
  <si>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</si>
  <si>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</si>
  <si>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</si>
  <si>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</si>
  <si>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</si>
  <si>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</si>
  <si>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</si>
  <si>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</si>
  <si>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</si>
  <si>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</si>
  <si>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</si>
  <si>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</si>
  <si>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</si>
  <si>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</si>
  <si>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</si>
  <si>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</si>
  <si>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</si>
  <si>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</si>
  <si>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</si>
  <si>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</si>
  <si>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</si>
  <si>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</si>
  <si>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</si>
  <si>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</si>
  <si>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</si>
  <si>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</si>
  <si>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</si>
  <si>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</si>
  <si>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</si>
  <si>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</si>
  <si>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</si>
  <si>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</si>
  <si>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</si>
  <si>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</si>
  <si>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</si>
  <si>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</si>
  <si>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</si>
  <si>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</si>
  <si>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</si>
  <si>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</si>
  <si>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</si>
  <si>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</si>
  <si>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</si>
  <si>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</si>
  <si>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</si>
  <si>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</si>
  <si>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</si>
  <si>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</si>
  <si>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</si>
  <si>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</si>
  <si>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</si>
  <si>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</si>
  <si>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</si>
  <si>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</si>
  <si>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</si>
  <si>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</si>
  <si>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</si>
  <si>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</si>
  <si>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</si>
  <si>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</si>
  <si>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</si>
  <si>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</si>
  <si>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</si>
  <si>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</si>
  <si>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</si>
  <si>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</si>
  <si>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</si>
  <si>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</si>
  <si>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</si>
  <si>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</si>
  <si>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</si>
  <si>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</si>
  <si>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</si>
  <si>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</si>
  <si>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</si>
  <si>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</si>
  <si>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</si>
  <si>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</si>
  <si>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</si>
  <si>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</si>
  <si>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</si>
  <si>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</si>
  <si>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</si>
  <si>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</si>
  <si>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</si>
  <si>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</si>
  <si>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</si>
  <si>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</si>
  <si>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</si>
  <si>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</si>
  <si>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</si>
  <si>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</si>
  <si>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</si>
  <si>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</si>
  <si>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</si>
  <si>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</si>
  <si>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</si>
  <si>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</si>
  <si>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</si>
  <si>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</si>
  <si>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</si>
  <si>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</si>
  <si>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</si>
  <si>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</si>
  <si>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</si>
  <si>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</si>
  <si>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</si>
  <si>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</si>
  <si>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</si>
  <si>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</si>
  <si>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</si>
  <si>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</si>
  <si>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</si>
  <si>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</si>
  <si>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</si>
  <si>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</si>
  <si>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</si>
  <si>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</si>
  <si>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</si>
  <si>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</si>
  <si>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</si>
  <si>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</si>
  <si>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</si>
  <si>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</si>
  <si>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</si>
  <si>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</si>
  <si>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</si>
  <si>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</si>
  <si>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</si>
  <si>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</si>
  <si>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</si>
  <si>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</si>
  <si>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</si>
  <si>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</si>
  <si>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</si>
  <si>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</si>
  <si>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</si>
  <si>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</si>
  <si>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</si>
  <si>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</si>
  <si>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</si>
  <si>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</si>
  <si>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</si>
  <si>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</si>
  <si>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</si>
  <si>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</si>
  <si>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</si>
  <si>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</si>
  <si>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</si>
  <si>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</si>
  <si>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</si>
  <si>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</si>
  <si>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</si>
  <si>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</si>
  <si>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</si>
  <si>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</si>
  <si>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</si>
  <si>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</si>
  <si>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</si>
  <si>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</si>
  <si>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</si>
  <si>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</si>
  <si>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</si>
  <si>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</si>
  <si>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</si>
  <si>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</si>
  <si>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</si>
  <si>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</si>
  <si>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</si>
  <si>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</si>
  <si>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</si>
  <si>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</si>
  <si>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</si>
  <si>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</si>
  <si>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</si>
  <si>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</si>
  <si>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</si>
  <si>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</si>
  <si>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</si>
  <si>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</si>
  <si>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</si>
  <si>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</si>
  <si>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</si>
  <si>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</si>
  <si>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</si>
  <si>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</si>
  <si>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</si>
  <si>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</si>
  <si>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</si>
  <si>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</si>
  <si>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</si>
  <si>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</si>
  <si>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</si>
  <si>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</si>
  <si>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</si>
  <si>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</si>
  <si>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</si>
  <si>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</si>
  <si>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</si>
  <si>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</si>
  <si>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</si>
  <si>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</si>
  <si>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</si>
  <si>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</si>
  <si>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</si>
  <si>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</si>
  <si>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</si>
  <si>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</si>
  <si>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</si>
  <si>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</si>
  <si>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</si>
  <si>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</si>
  <si>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</si>
  <si>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</si>
  <si>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</si>
  <si>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</si>
  <si>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</si>
  <si>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</si>
  <si>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</si>
  <si>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</si>
  <si>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</si>
  <si>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</si>
  <si>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</si>
  <si>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</si>
  <si>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</si>
  <si>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</si>
  <si>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</si>
  <si>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</si>
  <si>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</si>
  <si>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</si>
  <si>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</si>
  <si>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</si>
  <si>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</si>
  <si>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</si>
  <si>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</si>
  <si>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</si>
  <si>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</si>
  <si>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</si>
  <si>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</si>
  <si>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</si>
  <si>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</si>
  <si>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</si>
  <si>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</si>
  <si>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</si>
  <si>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</si>
  <si>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</si>
  <si>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</si>
  <si>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</si>
  <si>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</si>
  <si>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</si>
  <si>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</si>
  <si>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</si>
  <si>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</si>
  <si>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</si>
  <si>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</si>
  <si>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</si>
  <si>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</si>
  <si>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</si>
  <si>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</si>
  <si>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</si>
  <si>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</si>
  <si>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</si>
  <si>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</si>
  <si>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</si>
  <si>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</si>
  <si>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</si>
  <si>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</si>
  <si>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</si>
  <si>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</si>
  <si>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</si>
  <si>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</si>
  <si>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</si>
  <si>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</si>
  <si>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</si>
  <si>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</si>
  <si>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</si>
  <si>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</si>
  <si>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</si>
  <si>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</si>
  <si>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</si>
  <si>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</si>
  <si>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</si>
  <si>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</si>
  <si>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</si>
  <si>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</si>
  <si>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</si>
  <si>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</si>
  <si>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</si>
  <si>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</si>
  <si>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</si>
  <si>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</si>
  <si>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</si>
  <si>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</si>
  <si>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</si>
  <si>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</si>
  <si>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</si>
  <si>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</si>
  <si>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</si>
  <si>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</si>
  <si>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</si>
  <si>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</si>
  <si>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</si>
  <si>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</si>
  <si>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</si>
  <si>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</si>
  <si>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</si>
  <si>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</si>
  <si>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</si>
  <si>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</si>
  <si>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</si>
  <si>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</si>
  <si>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</si>
  <si>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</si>
  <si>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</si>
  <si>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</si>
  <si>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</si>
  <si>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</si>
  <si>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</si>
  <si>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</si>
  <si>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</si>
  <si>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</si>
  <si>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</si>
  <si>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</si>
  <si>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</si>
  <si>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</si>
  <si>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</si>
  <si>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</si>
  <si>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</si>
  <si>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</si>
  <si>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</si>
  <si>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</si>
  <si>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</si>
  <si>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</si>
  <si>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</si>
  <si>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</si>
  <si>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</si>
  <si>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</si>
  <si>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</si>
  <si>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</si>
  <si>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</si>
  <si>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</si>
  <si>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</si>
  <si>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</si>
  <si>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</si>
  <si>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</si>
  <si>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</si>
  <si>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</si>
  <si>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</si>
  <si>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</si>
  <si>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</si>
  <si>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</si>
  <si>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</si>
  <si>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</si>
  <si>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</si>
  <si>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</si>
  <si>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</si>
  <si>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</si>
  <si>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</si>
  <si>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</si>
  <si>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</si>
  <si>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</si>
  <si>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</si>
  <si>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</si>
  <si>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</si>
  <si>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</si>
  <si>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</si>
  <si>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</si>
  <si>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</si>
  <si>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</si>
  <si>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</si>
  <si>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</si>
  <si>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</si>
  <si>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</si>
  <si>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</si>
  <si>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</si>
  <si>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</si>
  <si>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</si>
  <si>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</si>
  <si>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</si>
  <si>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</si>
  <si>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</si>
  <si>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</si>
  <si>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</si>
  <si>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</si>
  <si>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</si>
  <si>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</si>
  <si>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</si>
  <si>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</si>
  <si>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</si>
  <si>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</si>
  <si>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</si>
  <si>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</si>
  <si>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</si>
  <si>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</si>
  <si>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</si>
  <si>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</si>
  <si>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</si>
  <si>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</si>
  <si>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</si>
  <si>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</si>
  <si>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</si>
  <si>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</si>
  <si>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</si>
  <si>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</si>
  <si>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</si>
  <si>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</si>
  <si>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</si>
  <si>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</si>
  <si>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</si>
  <si>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</si>
  <si>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</si>
  <si>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</si>
  <si>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</si>
  <si>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</si>
  <si>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</si>
  <si>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</si>
  <si>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</si>
  <si>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</si>
  <si>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</si>
  <si>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</si>
  <si>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</si>
  <si>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</si>
  <si>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</si>
  <si>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</si>
  <si>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</si>
  <si>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</si>
  <si>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</si>
  <si>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</si>
  <si>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</si>
  <si>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</si>
  <si>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</si>
  <si>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</si>
  <si>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</si>
  <si>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</si>
  <si>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</si>
  <si>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</si>
  <si>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</si>
  <si>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</si>
  <si>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</si>
  <si>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</si>
  <si>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</si>
  <si>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</si>
  <si>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</si>
  <si>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</si>
  <si>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</si>
  <si>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</si>
  <si>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</si>
  <si>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</si>
  <si>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</si>
  <si>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</si>
  <si>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</si>
  <si>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</si>
  <si>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</si>
  <si>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</si>
  <si>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</si>
  <si>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</si>
  <si>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</si>
  <si>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</si>
  <si>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</si>
  <si>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</si>
  <si>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</si>
  <si>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</si>
  <si>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</si>
  <si>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</si>
  <si>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</si>
  <si>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</si>
  <si>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</si>
  <si>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</si>
  <si>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</si>
  <si>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</si>
  <si>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</si>
  <si>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</si>
  <si>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</si>
  <si>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</si>
  <si>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</si>
  <si>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</si>
  <si>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</si>
  <si>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</si>
  <si>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</si>
  <si>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</si>
  <si>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</si>
  <si>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</si>
  <si>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</si>
  <si>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</si>
  <si>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</si>
  <si>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</si>
  <si>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</si>
  <si>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</si>
  <si>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</si>
  <si>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</si>
  <si>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</si>
  <si>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</si>
  <si>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</si>
  <si>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</si>
  <si>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</si>
  <si>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</si>
  <si>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</si>
  <si>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</si>
  <si>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</si>
  <si>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</si>
  <si>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</si>
  <si>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</si>
  <si>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</si>
  <si>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</si>
  <si>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</si>
  <si>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</si>
  <si>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</si>
  <si>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</si>
  <si>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</si>
  <si>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</si>
  <si>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</si>
  <si>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</si>
  <si>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</si>
  <si>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</si>
  <si>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</si>
  <si>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</si>
  <si>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</si>
  <si>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</si>
  <si>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</si>
  <si>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</si>
  <si>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</si>
  <si>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</si>
  <si>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</si>
  <si>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</si>
  <si>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</si>
  <si>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</si>
  <si>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</si>
  <si>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</si>
  <si>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</si>
  <si>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</si>
  <si>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</si>
  <si>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</si>
  <si>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</si>
  <si>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</si>
  <si>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</si>
  <si>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</si>
  <si>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</si>
  <si>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</si>
  <si>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</si>
  <si>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</si>
  <si>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</si>
  <si>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</si>
  <si>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</si>
  <si>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</si>
  <si>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</si>
  <si>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</si>
  <si>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</si>
  <si>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</si>
  <si>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</si>
  <si>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</si>
  <si>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</si>
  <si>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</si>
  <si>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</si>
  <si>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</si>
  <si>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</si>
  <si>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</si>
  <si>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</si>
  <si>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</si>
  <si>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</si>
  <si>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</si>
  <si>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</si>
  <si>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</si>
  <si>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</si>
  <si>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</si>
  <si>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</si>
  <si>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</si>
  <si>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</si>
  <si>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</si>
  <si>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</si>
  <si>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</si>
  <si>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</si>
  <si>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</si>
  <si>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</si>
  <si>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</si>
  <si>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</si>
  <si>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</si>
  <si>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</si>
  <si>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</si>
  <si>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</si>
  <si>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</si>
  <si>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</si>
  <si>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</si>
  <si>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</si>
  <si>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</si>
  <si>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</si>
  <si>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</si>
  <si>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</si>
  <si>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</si>
  <si>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</si>
  <si>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</si>
  <si>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</si>
  <si>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</si>
  <si>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</si>
  <si>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</si>
  <si>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</si>
  <si>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</si>
  <si>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</si>
  <si>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</si>
  <si>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</si>
  <si>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</si>
  <si>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</si>
  <si>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</si>
  <si>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</si>
  <si>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</si>
  <si>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</si>
  <si>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</si>
  <si>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</si>
  <si>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</si>
  <si>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</si>
  <si>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</si>
  <si>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</si>
  <si>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</si>
  <si>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</si>
  <si>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</si>
  <si>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</si>
  <si>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</si>
  <si>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</si>
  <si>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</si>
  <si>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</si>
  <si>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</si>
  <si>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</si>
  <si>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</si>
  <si>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</si>
  <si>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</si>
  <si>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</si>
  <si>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</si>
  <si>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</si>
  <si>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</si>
  <si>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</si>
  <si>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</si>
  <si>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</si>
  <si>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</si>
  <si>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</si>
  <si>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</si>
  <si>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</si>
  <si>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</si>
  <si>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</si>
  <si>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</si>
  <si>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</si>
  <si>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</si>
  <si>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</si>
  <si>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</si>
  <si>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</si>
  <si>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</si>
  <si>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</si>
  <si>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</si>
  <si>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</si>
  <si>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</si>
  <si>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</si>
  <si>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</si>
  <si>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</si>
  <si>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</si>
  <si>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</si>
  <si>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</si>
  <si>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</si>
  <si>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</si>
  <si>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</si>
  <si>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</si>
  <si>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</si>
  <si>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</si>
  <si>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</si>
  <si>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</si>
  <si>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</si>
  <si>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</si>
  <si>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</si>
  <si>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</si>
  <si>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</si>
  <si>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</si>
  <si>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</si>
  <si>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</si>
  <si>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</si>
  <si>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</si>
  <si>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</si>
  <si>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</si>
  <si>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</si>
  <si>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</si>
  <si>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</si>
  <si>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</si>
  <si>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</si>
  <si>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</si>
  <si>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</si>
  <si>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</si>
  <si>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</si>
  <si>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</si>
  <si>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</si>
  <si>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</si>
  <si>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</si>
  <si>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</si>
  <si>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</si>
  <si>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</si>
  <si>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</si>
  <si>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</si>
  <si>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</si>
  <si>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</si>
  <si>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</si>
  <si>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</si>
  <si>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</si>
  <si>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</si>
  <si>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</si>
  <si>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</si>
  <si>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</si>
  <si>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</si>
  <si>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</si>
  <si>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</si>
  <si>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</si>
  <si>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</si>
  <si>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</si>
  <si>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</si>
  <si>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</si>
  <si>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</si>
  <si>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</si>
  <si>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</si>
  <si>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</si>
  <si>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</si>
  <si>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</si>
  <si>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</si>
  <si>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</si>
  <si>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</si>
  <si>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</si>
  <si>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</si>
  <si>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</si>
  <si>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</si>
  <si>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</si>
  <si>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</si>
  <si>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</si>
  <si>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</si>
  <si>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</si>
  <si>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</si>
  <si>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</si>
  <si>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</si>
  <si>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</si>
  <si>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</si>
  <si>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</si>
  <si>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</si>
  <si>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</si>
  <si>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</si>
  <si>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</si>
  <si>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</si>
  <si>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</si>
  <si>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</si>
  <si>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</si>
  <si>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</si>
  <si>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</si>
  <si>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</si>
  <si>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</si>
  <si>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</si>
  <si>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</si>
  <si>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</si>
  <si>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</si>
  <si>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</si>
  <si>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</si>
  <si>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</si>
  <si>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</si>
  <si>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</si>
  <si>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</si>
  <si>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</si>
  <si>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</si>
  <si>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</si>
  <si>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</si>
  <si>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</si>
  <si>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</si>
  <si>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</si>
  <si>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</si>
  <si>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</si>
  <si>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</si>
  <si>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</si>
  <si>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</si>
  <si>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</si>
  <si>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</si>
  <si>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</si>
  <si>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</si>
  <si>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</si>
  <si>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</si>
  <si>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</si>
  <si>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</si>
  <si>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</si>
  <si>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</si>
  <si>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</si>
  <si>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</si>
  <si>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</si>
  <si>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</si>
  <si>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</si>
  <si>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</si>
  <si>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</si>
  <si>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</si>
  <si>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</si>
  <si>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</si>
  <si>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</si>
  <si>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</si>
  <si>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</si>
  <si>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</si>
  <si>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</si>
  <si>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</si>
  <si>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</si>
  <si>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</si>
  <si>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</si>
  <si>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</si>
  <si>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</si>
  <si>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</si>
  <si>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</si>
  <si>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</si>
  <si>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</si>
  <si>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</si>
  <si>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</si>
  <si>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</si>
  <si>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</si>
  <si>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</si>
  <si>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</si>
  <si>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</si>
  <si>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</si>
  <si>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</si>
  <si>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</si>
  <si>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</si>
  <si>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</si>
  <si>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</si>
  <si>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</si>
  <si>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</si>
  <si>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</si>
  <si>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</si>
  <si>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</si>
  <si>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</si>
  <si>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</si>
  <si>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</si>
  <si>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</si>
  <si>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</si>
  <si>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</si>
  <si>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</si>
  <si>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</si>
  <si>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</si>
  <si>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</si>
  <si>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</si>
  <si>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</si>
  <si>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</si>
  <si>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</si>
  <si>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</si>
  <si>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</si>
  <si>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</si>
  <si>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</si>
  <si>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</si>
  <si>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</si>
  <si>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</si>
  <si>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</si>
  <si>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</si>
  <si>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</si>
  <si>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</si>
  <si>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</si>
  <si>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</si>
  <si>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</si>
  <si>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</si>
  <si>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</si>
  <si>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</si>
  <si>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</si>
  <si>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</si>
  <si>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</si>
  <si>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</si>
  <si>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</si>
  <si>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</si>
  <si>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</si>
  <si>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</si>
  <si>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</si>
  <si>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</si>
  <si>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</si>
  <si>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</si>
  <si>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</si>
  <si>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</si>
  <si>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</si>
  <si>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</si>
  <si>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</si>
  <si>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</si>
  <si>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</si>
  <si>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</si>
  <si>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</si>
  <si>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</si>
  <si>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</si>
  <si>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</si>
  <si>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</si>
  <si>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</si>
  <si>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</si>
  <si>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</si>
  <si>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</si>
  <si>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</si>
  <si>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</si>
  <si>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</si>
  <si>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</si>
  <si>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</si>
  <si>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</si>
  <si>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</si>
  <si>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</si>
  <si>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</si>
  <si>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</si>
  <si>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</si>
  <si>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</si>
  <si>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</si>
  <si>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</si>
  <si>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</si>
  <si>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</si>
  <si>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</si>
  <si>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</si>
  <si>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</si>
  <si>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</si>
  <si>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</si>
  <si>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</si>
  <si>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</si>
  <si>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</si>
  <si>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</si>
  <si>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</si>
  <si>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</si>
  <si>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</si>
  <si>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</si>
  <si>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</si>
  <si>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</si>
  <si>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</si>
  <si>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</si>
  <si>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</si>
  <si>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</si>
  <si>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</si>
  <si>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</si>
  <si>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</si>
  <si>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</si>
  <si>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</si>
  <si>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</si>
  <si>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</si>
  <si>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</si>
  <si>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</si>
  <si>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</si>
  <si>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</si>
  <si>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</si>
  <si>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</si>
  <si>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</si>
  <si>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</si>
  <si>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</si>
  <si>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</si>
  <si>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</si>
  <si>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</si>
  <si>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</si>
  <si>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</si>
  <si>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</si>
  <si>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</si>
  <si>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</si>
  <si>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</si>
  <si>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</si>
  <si>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</si>
  <si>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</si>
  <si>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</si>
  <si>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</si>
  <si>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</si>
  <si>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</si>
  <si>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</si>
  <si>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</si>
  <si>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</si>
  <si>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</si>
  <si>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</si>
  <si>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</si>
  <si>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</si>
  <si>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</si>
  <si>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</si>
  <si>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</si>
  <si>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</si>
  <si>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</si>
  <si>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</si>
  <si>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</si>
  <si>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</si>
  <si>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</si>
  <si>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</si>
  <si>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</si>
  <si>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</si>
  <si>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</si>
  <si>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</si>
  <si>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</si>
  <si>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</si>
  <si>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</si>
  <si>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</si>
  <si>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</si>
  <si>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</si>
  <si>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</si>
  <si>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</si>
  <si>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</si>
  <si>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</si>
  <si>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</si>
  <si>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</si>
  <si>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</si>
  <si>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</si>
  <si>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</si>
  <si>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</si>
  <si>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</si>
  <si>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</si>
  <si>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</si>
  <si>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</si>
  <si>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</si>
  <si>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</si>
  <si>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</si>
  <si>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</si>
  <si>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</si>
  <si>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</si>
  <si>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</si>
  <si>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</si>
  <si>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</si>
  <si>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</si>
  <si>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</si>
  <si>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</si>
  <si>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</si>
  <si>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</si>
  <si>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</si>
  <si>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</si>
  <si>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</si>
  <si>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</si>
  <si>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</si>
  <si>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</si>
  <si>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</si>
  <si>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</si>
  <si>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</si>
  <si>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</si>
  <si>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</si>
  <si>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</si>
  <si>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</si>
  <si>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</si>
  <si>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</si>
  <si>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</si>
  <si>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</si>
  <si>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</si>
  <si>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</si>
  <si>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</si>
  <si>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</si>
  <si>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</si>
  <si>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</si>
  <si>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</si>
  <si>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</si>
  <si>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</si>
  <si>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</si>
  <si>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</si>
  <si>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</si>
  <si>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</si>
  <si>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</si>
  <si>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</si>
  <si>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</si>
  <si>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</si>
  <si>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</si>
  <si>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</si>
  <si>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</si>
  <si>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</si>
  <si>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</si>
  <si>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</si>
  <si>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</si>
  <si>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</si>
  <si>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</si>
  <si>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</si>
  <si>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</si>
  <si>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</si>
  <si>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</si>
  <si>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</si>
  <si>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</si>
  <si>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</si>
  <si>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</si>
  <si>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</si>
  <si>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</si>
  <si>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</si>
  <si>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</si>
  <si>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</si>
  <si>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</si>
  <si>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</si>
  <si>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</si>
  <si>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</si>
  <si>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</si>
  <si>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</si>
  <si>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</si>
  <si>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</si>
  <si>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</si>
  <si>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</si>
  <si>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</si>
  <si>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</si>
  <si>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</si>
  <si>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</si>
  <si>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</si>
  <si>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</si>
  <si>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</si>
  <si>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</si>
  <si>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</si>
  <si>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</si>
  <si>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</si>
  <si>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</si>
  <si>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</si>
  <si>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</si>
  <si>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</si>
  <si>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</si>
  <si>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</si>
  <si>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</si>
  <si>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</si>
  <si>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</si>
  <si>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</si>
  <si>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</si>
  <si>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</si>
  <si>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</si>
  <si>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</si>
  <si>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</si>
  <si>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</si>
  <si>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</si>
  <si>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</si>
  <si>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</si>
  <si>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</si>
  <si>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</si>
  <si>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</si>
  <si>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</si>
  <si>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</si>
  <si>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</si>
  <si>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</si>
  <si>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</si>
  <si>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</si>
  <si>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</si>
  <si>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</si>
  <si>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</si>
  <si>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</si>
  <si>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</si>
  <si>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</si>
  <si>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</si>
  <si>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</si>
  <si>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</si>
  <si>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</si>
  <si>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</si>
  <si>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</si>
  <si>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</si>
  <si>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</si>
  <si>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</si>
  <si>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</si>
  <si>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</si>
  <si>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</si>
  <si>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</si>
  <si>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</si>
  <si>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</si>
  <si>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</si>
  <si>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</si>
  <si>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</si>
  <si>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</si>
  <si>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</si>
  <si>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</si>
  <si>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</si>
  <si>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</si>
  <si>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</si>
  <si>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</si>
  <si>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</si>
  <si>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</si>
  <si>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</si>
  <si>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</si>
  <si>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</si>
  <si>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</si>
  <si>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</si>
  <si>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</si>
  <si>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</si>
  <si>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</si>
  <si>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</si>
  <si>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</si>
  <si>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</si>
  <si>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</si>
  <si>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</si>
  <si>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</si>
  <si>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</si>
  <si>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</si>
  <si>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</si>
  <si>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</si>
  <si>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</si>
  <si>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</si>
  <si>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</si>
  <si>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</si>
  <si>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</si>
  <si>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</si>
  <si>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</si>
  <si>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</si>
  <si>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</si>
  <si>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</si>
  <si>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</si>
  <si>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</si>
  <si>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</si>
  <si>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</si>
  <si>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</si>
  <si>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</si>
  <si>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</si>
  <si>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</si>
  <si>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</si>
  <si>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</si>
  <si>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</si>
  <si>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</si>
  <si>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</si>
  <si>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</si>
  <si>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</si>
  <si>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</si>
  <si>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</si>
  <si>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</si>
  <si>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</si>
  <si>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</si>
  <si>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</si>
  <si>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</si>
  <si>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</si>
  <si>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</si>
  <si>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</si>
  <si>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</si>
  <si>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</si>
  <si>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</si>
  <si>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</si>
  <si>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</si>
  <si>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</si>
  <si>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</si>
  <si>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</si>
  <si>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</si>
  <si>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</si>
  <si>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</si>
  <si>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</si>
  <si>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</si>
  <si>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</si>
  <si>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</si>
  <si>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</si>
  <si>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</si>
  <si>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</si>
  <si>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</si>
  <si>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</si>
  <si>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</si>
  <si>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</si>
  <si>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</si>
  <si>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</si>
  <si>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</si>
  <si>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</si>
  <si>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</si>
  <si>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</si>
  <si>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</si>
  <si>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</si>
  <si>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</si>
  <si>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</si>
  <si>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</si>
  <si>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</si>
  <si>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</si>
  <si>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</si>
  <si>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</si>
  <si>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</si>
  <si>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</si>
  <si>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</si>
  <si>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</si>
  <si>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</si>
  <si>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</si>
  <si>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</si>
  <si>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</si>
  <si>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</si>
  <si>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</si>
  <si>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</si>
  <si>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</si>
  <si>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</si>
  <si>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</si>
  <si>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</si>
  <si>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</si>
  <si>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</si>
  <si>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</si>
  <si>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</si>
  <si>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</si>
  <si>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</si>
  <si>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</si>
  <si>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</si>
  <si>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</si>
  <si>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</si>
  <si>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</si>
  <si>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</si>
  <si>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</si>
  <si>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</si>
  <si>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</si>
  <si>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</si>
  <si>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</si>
  <si>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</si>
  <si>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</si>
  <si>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</si>
  <si>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</si>
  <si>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</si>
  <si>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</si>
  <si>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</si>
  <si>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</si>
  <si>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</si>
  <si>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</si>
  <si>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</si>
  <si>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</si>
  <si>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</si>
  <si>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</si>
  <si>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</si>
  <si>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</si>
  <si>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</si>
  <si>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</si>
  <si>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</si>
  <si>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</si>
  <si>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</si>
  <si>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</si>
  <si>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</si>
  <si>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</si>
  <si>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</si>
  <si>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</si>
  <si>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</si>
  <si>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</si>
  <si>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</si>
  <si>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</si>
  <si>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</si>
  <si>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</si>
  <si>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</si>
  <si>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</si>
  <si>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</si>
  <si>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</si>
  <si>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</si>
  <si>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</si>
  <si>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</si>
  <si>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</si>
  <si>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</si>
  <si>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</si>
  <si>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</si>
  <si>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</si>
  <si>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</si>
  <si>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</si>
  <si>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</si>
  <si>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</si>
  <si>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</si>
  <si>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</si>
  <si>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</si>
  <si>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</si>
  <si>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</si>
  <si>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</si>
  <si>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</si>
  <si>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</si>
  <si>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</si>
  <si>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</si>
  <si>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</si>
  <si>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</si>
  <si>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</si>
  <si>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</si>
  <si>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</si>
  <si>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</si>
  <si>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</si>
  <si>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</si>
  <si>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</si>
  <si>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</si>
  <si>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</si>
  <si>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</si>
  <si>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</si>
  <si>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</si>
  <si>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</si>
  <si>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</si>
  <si>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</si>
  <si>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</si>
  <si>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</si>
  <si>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</si>
  <si>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</si>
  <si>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</si>
  <si>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</si>
  <si>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</si>
  <si>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</si>
  <si>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</si>
  <si>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</si>
  <si>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</si>
  <si>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</si>
  <si>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</si>
  <si>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</si>
  <si>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</si>
  <si>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</si>
  <si>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</si>
  <si>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</si>
  <si>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</si>
  <si>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</si>
  <si>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</si>
  <si>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</si>
  <si>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</si>
  <si>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</si>
  <si>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</si>
  <si>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</si>
  <si>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</si>
  <si>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</si>
  <si>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</si>
  <si>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</si>
  <si>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</si>
  <si>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</si>
  <si>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</si>
  <si>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</si>
  <si>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</si>
  <si>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</si>
  <si>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</si>
  <si>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</si>
  <si>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</si>
  <si>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</si>
  <si>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</si>
  <si>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</si>
  <si>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</si>
  <si>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</si>
  <si>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</si>
  <si>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</si>
  <si>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</si>
  <si>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</si>
  <si>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</si>
  <si>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</si>
  <si>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</si>
  <si>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</si>
  <si>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</si>
  <si>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</si>
  <si>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</si>
  <si>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</si>
  <si>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</si>
  <si>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</si>
  <si>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</si>
  <si>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</si>
  <si>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</si>
  <si>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</si>
  <si>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</si>
  <si>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</si>
  <si>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</si>
  <si>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</si>
  <si>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</si>
  <si>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</si>
  <si>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</si>
  <si>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</si>
  <si>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</si>
  <si>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</si>
  <si>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</si>
  <si>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</si>
  <si>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</si>
  <si>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</si>
  <si>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</si>
  <si>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</si>
  <si>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</si>
  <si>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</si>
  <si>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</si>
  <si>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</si>
  <si>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</si>
  <si>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</si>
  <si>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</si>
  <si>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</si>
  <si>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</si>
  <si>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</si>
  <si>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</si>
  <si>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</si>
  <si>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</si>
  <si>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</si>
  <si>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</si>
  <si>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</si>
  <si>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</si>
  <si>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</si>
  <si>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</si>
  <si>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</si>
  <si>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</si>
  <si>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</si>
  <si>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</si>
  <si>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</si>
  <si>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</si>
  <si>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</si>
  <si>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</si>
  <si>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</si>
  <si>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</si>
  <si>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</si>
  <si>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</si>
  <si>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</si>
  <si>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</si>
  <si>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</si>
  <si>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</si>
  <si>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</si>
  <si>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</si>
  <si>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</si>
  <si>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</si>
  <si>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</si>
  <si>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</si>
  <si>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</si>
  <si>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</si>
  <si>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</si>
  <si>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</si>
  <si>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</si>
  <si>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</si>
  <si>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</si>
  <si>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</si>
  <si>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</si>
  <si>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</si>
  <si>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</si>
  <si>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</si>
  <si>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</si>
  <si>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</si>
  <si>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</si>
  <si>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</si>
  <si>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</si>
  <si>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</si>
  <si>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</si>
  <si>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</si>
  <si>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</si>
  <si>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</si>
  <si>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</si>
  <si>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</si>
  <si>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</si>
  <si>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</si>
  <si>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</si>
  <si>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</si>
  <si>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</si>
  <si>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</si>
  <si>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</si>
  <si>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</si>
  <si>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</si>
  <si>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</si>
  <si>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</si>
  <si>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</si>
  <si>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</si>
  <si>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</si>
  <si>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</si>
  <si>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</si>
  <si>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</si>
  <si>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</si>
  <si>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</si>
  <si>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</si>
  <si>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</si>
  <si>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</si>
  <si>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</si>
  <si>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</si>
  <si>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</si>
  <si>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</si>
  <si>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</si>
  <si>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</si>
  <si>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</si>
  <si>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</si>
  <si>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</si>
  <si>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</si>
  <si>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</si>
  <si>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</si>
  <si>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</si>
  <si>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</si>
  <si>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</si>
  <si>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</si>
  <si>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</si>
  <si>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</si>
  <si>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</si>
  <si>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</si>
  <si>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</si>
  <si>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</si>
  <si>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</si>
  <si>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</si>
  <si>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</si>
  <si>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</si>
  <si>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</si>
  <si>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</si>
  <si>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</si>
  <si>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</si>
  <si>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</si>
  <si>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</si>
  <si>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</si>
  <si>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</si>
  <si>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</si>
  <si>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</si>
  <si>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</si>
  <si>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</si>
  <si>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</si>
  <si>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</si>
  <si>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</si>
  <si>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</si>
  <si>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</si>
  <si>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</si>
  <si>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</si>
  <si>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</si>
  <si>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</si>
  <si>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</si>
  <si>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</si>
  <si>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</si>
  <si>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</si>
  <si>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</si>
  <si>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</si>
  <si>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</si>
  <si>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</si>
  <si>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</si>
  <si>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</si>
  <si>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</si>
  <si>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</si>
  <si>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</si>
  <si>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</si>
  <si>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</si>
  <si>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</si>
  <si>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</si>
  <si>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</si>
  <si>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</si>
  <si>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</si>
  <si>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</si>
  <si>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</si>
  <si>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</si>
  <si>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</si>
  <si>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</si>
  <si>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</si>
  <si>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</si>
  <si>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</si>
  <si>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</si>
  <si>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</si>
  <si>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</si>
  <si>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</si>
  <si>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</si>
  <si>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</si>
  <si>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</si>
  <si>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</si>
  <si>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</si>
  <si>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</si>
  <si>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</si>
  <si>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</si>
  <si>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</si>
  <si>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</si>
  <si>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</si>
  <si>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</si>
  <si>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</si>
  <si>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</si>
  <si>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</si>
  <si>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</si>
  <si>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</si>
  <si>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</si>
  <si>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</si>
  <si>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</si>
  <si>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</si>
  <si>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</si>
  <si>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</si>
  <si>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</si>
  <si>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</si>
  <si>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</si>
  <si>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</si>
  <si>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</si>
  <si>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</si>
  <si>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</si>
  <si>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</si>
  <si>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</si>
  <si>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</si>
  <si>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</si>
  <si>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</si>
  <si>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</si>
  <si>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</si>
  <si>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</si>
  <si>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</si>
  <si>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</si>
  <si>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</si>
  <si>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</si>
  <si>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</si>
  <si>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</si>
  <si>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</si>
  <si>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</si>
  <si>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</si>
  <si>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</si>
  <si>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</si>
  <si>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</si>
  <si>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</si>
  <si>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</si>
  <si>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</si>
  <si>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</si>
  <si>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</si>
  <si>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</si>
  <si>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</si>
  <si>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</si>
  <si>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</si>
  <si>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</si>
  <si>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</si>
  <si>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</si>
  <si>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</si>
  <si>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</si>
  <si>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</si>
  <si>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</si>
  <si>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</si>
  <si>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</si>
  <si>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</si>
  <si>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</si>
  <si>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</si>
  <si>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</si>
  <si>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</si>
  <si>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</si>
  <si>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</si>
  <si>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</si>
  <si>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</si>
  <si>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</si>
  <si>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</si>
  <si>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</si>
  <si>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</si>
  <si>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</si>
  <si>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</si>
  <si>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</si>
  <si>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</si>
  <si>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</si>
  <si>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</si>
  <si>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</si>
  <si>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</si>
  <si>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</si>
  <si>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</si>
  <si>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</si>
  <si>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</si>
  <si>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</si>
  <si>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</si>
  <si>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</si>
  <si>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</si>
  <si>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</si>
  <si>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</si>
  <si>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</si>
  <si>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</si>
  <si>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</si>
  <si>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</si>
  <si>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</si>
  <si>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</si>
  <si>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</si>
  <si>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</si>
  <si>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</si>
  <si>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</si>
  <si>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</si>
  <si>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</si>
  <si>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</si>
  <si>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</si>
  <si>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</si>
  <si>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</si>
  <si>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</si>
  <si>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</si>
  <si>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</si>
  <si>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</si>
  <si>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</si>
  <si>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</si>
  <si>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</si>
  <si>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</si>
  <si>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</si>
  <si>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</si>
  <si>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</si>
  <si>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</si>
  <si>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</si>
  <si>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</si>
  <si>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</si>
  <si>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</si>
  <si>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</si>
  <si>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</si>
  <si>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</si>
  <si>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</si>
  <si>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</si>
  <si>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</si>
  <si>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</si>
  <si>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</si>
  <si>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</si>
  <si>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</si>
  <si>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</si>
  <si>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</si>
  <si>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</si>
  <si>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</si>
  <si>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</si>
  <si>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</si>
  <si>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</si>
  <si>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</si>
  <si>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</si>
  <si>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</si>
  <si>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</si>
  <si>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</si>
  <si>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</si>
  <si>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</si>
  <si>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</si>
  <si>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</si>
  <si>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</si>
  <si>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</si>
  <si>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</si>
  <si>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</si>
  <si>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</si>
  <si>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</si>
  <si>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</si>
  <si>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</si>
  <si>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</si>
  <si>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</si>
  <si>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</si>
  <si>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</si>
  <si>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</si>
  <si>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</si>
  <si>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</si>
  <si>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</si>
  <si>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</si>
  <si>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</si>
  <si>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</si>
  <si>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</si>
  <si>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</si>
  <si>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</si>
  <si>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</si>
  <si>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</si>
  <si>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</si>
  <si>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</si>
  <si>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</si>
  <si>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</si>
  <si>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</si>
  <si>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</si>
  <si>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</si>
  <si>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</si>
  <si>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</si>
  <si>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</si>
  <si>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</si>
  <si>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</si>
  <si>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</si>
  <si>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</si>
  <si>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</si>
  <si>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</si>
  <si>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</si>
  <si>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</si>
  <si>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</si>
  <si>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</si>
  <si>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</si>
  <si>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</si>
  <si>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</si>
  <si>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</si>
  <si>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</si>
  <si>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</si>
  <si>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</si>
  <si>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</si>
  <si>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</si>
  <si>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</si>
  <si>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</si>
  <si>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</si>
  <si>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</si>
  <si>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</si>
  <si>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</si>
  <si>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</si>
  <si>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</si>
  <si>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</si>
  <si>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</si>
  <si>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</si>
  <si>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</si>
  <si>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</si>
  <si>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</si>
  <si>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</si>
  <si>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</si>
  <si>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</si>
  <si>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</si>
  <si>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</si>
  <si>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</si>
  <si>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</si>
  <si>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</si>
  <si>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</si>
  <si>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</si>
  <si>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</si>
  <si>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</si>
  <si>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</si>
  <si>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</si>
  <si>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</si>
  <si>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</si>
  <si>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</si>
  <si>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</si>
  <si>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</si>
  <si>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</si>
  <si>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</si>
  <si>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</si>
  <si>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</si>
  <si>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</si>
  <si>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</si>
  <si>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</si>
  <si>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</si>
  <si>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</si>
  <si>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</si>
  <si>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</si>
  <si>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</si>
  <si>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</si>
  <si>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</si>
  <si>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</si>
  <si>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</si>
  <si>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</si>
  <si>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</si>
  <si>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</si>
  <si>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</si>
  <si>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</si>
  <si>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</si>
  <si>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</si>
  <si>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</si>
  <si>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</si>
  <si>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</si>
  <si>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</si>
  <si>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</si>
  <si>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</si>
  <si>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</si>
  <si>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</si>
  <si>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</si>
  <si>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</si>
  <si>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</si>
  <si>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</si>
  <si>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</si>
  <si>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</si>
  <si>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</si>
  <si>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</si>
  <si>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</si>
  <si>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</si>
  <si>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</si>
  <si>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</si>
  <si>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</si>
  <si>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</si>
  <si>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</si>
  <si>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</si>
  <si>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</si>
  <si>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</si>
  <si>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</si>
  <si>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</si>
  <si>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</si>
  <si>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</si>
  <si>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</si>
  <si>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</si>
  <si>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</si>
  <si>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</si>
  <si>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</si>
  <si>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</si>
  <si>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</si>
  <si>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</si>
  <si>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</si>
  <si>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</si>
  <si>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</si>
  <si>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</si>
  <si>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</si>
  <si>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</si>
  <si>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</si>
  <si>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</si>
  <si>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</si>
  <si>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</si>
  <si>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</si>
  <si>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</si>
  <si>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</si>
  <si>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</si>
  <si>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</si>
  <si>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</si>
  <si>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</si>
  <si>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</si>
  <si>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</si>
  <si>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</si>
  <si>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</si>
  <si>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</si>
  <si>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</si>
  <si>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</si>
  <si>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</si>
  <si>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</si>
  <si>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</si>
  <si>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</si>
  <si>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</si>
  <si>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</si>
  <si>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</si>
  <si>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</si>
  <si>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</si>
  <si>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</si>
  <si>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</si>
  <si>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</si>
  <si>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</si>
  <si>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</si>
  <si>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</si>
  <si>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</si>
  <si>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</si>
  <si>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</si>
  <si>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</si>
  <si>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</si>
  <si>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</si>
  <si>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</si>
  <si>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</si>
  <si>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</si>
  <si>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</si>
  <si>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</si>
  <si>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</si>
  <si>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</si>
  <si>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</si>
  <si>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</si>
  <si>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</si>
  <si>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</si>
  <si>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</si>
  <si>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</si>
  <si>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</si>
  <si>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</si>
  <si>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</si>
  <si>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</si>
  <si>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</si>
  <si>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</si>
  <si>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</si>
  <si>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</si>
  <si>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</si>
  <si>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</si>
  <si>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</si>
  <si>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</si>
  <si>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</si>
  <si>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</si>
  <si>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</si>
  <si>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</si>
  <si>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</si>
  <si>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</si>
  <si>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</si>
  <si>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</si>
  <si>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</si>
  <si>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</si>
  <si>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</si>
  <si>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</si>
  <si>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</si>
  <si>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</si>
  <si>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</si>
  <si>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</si>
  <si>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</si>
  <si>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</si>
  <si>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</si>
  <si>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</si>
  <si>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</si>
  <si>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</si>
  <si>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</si>
  <si>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</si>
  <si>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</si>
  <si>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</si>
  <si>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</si>
  <si>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</si>
  <si>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</si>
  <si>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</si>
  <si>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</si>
  <si>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</si>
  <si>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</si>
  <si>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</si>
  <si>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</si>
  <si>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</si>
  <si>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</si>
  <si>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</si>
  <si>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</si>
  <si>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</si>
  <si>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</si>
  <si>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</si>
  <si>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</si>
  <si>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</si>
  <si>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</si>
  <si>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</si>
  <si>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</si>
  <si>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</si>
  <si>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</si>
  <si>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</si>
  <si>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</si>
  <si>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</si>
  <si>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</si>
  <si>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</si>
  <si>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</si>
  <si>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</si>
  <si>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</si>
  <si>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</si>
  <si>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</si>
  <si>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</si>
  <si>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</si>
  <si>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</si>
  <si>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</si>
  <si>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</si>
  <si>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</si>
  <si>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</si>
  <si>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</si>
  <si>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</si>
  <si>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</si>
  <si>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</si>
  <si>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</si>
  <si>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</si>
  <si>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</si>
  <si>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</si>
  <si>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</si>
  <si>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</si>
  <si>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</si>
  <si>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</si>
  <si>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</si>
  <si>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</si>
  <si>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</si>
  <si>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</si>
  <si>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</si>
  <si>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</si>
  <si>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</si>
  <si>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</si>
  <si>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</si>
  <si>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</si>
  <si>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</si>
  <si>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</si>
  <si>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</si>
  <si>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</si>
  <si>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</si>
  <si>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</si>
  <si>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</si>
  <si>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</si>
  <si>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</si>
  <si>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</si>
  <si>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</si>
  <si>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</si>
  <si>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</si>
  <si>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</si>
  <si>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</si>
  <si>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</si>
  <si>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</si>
  <si>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</si>
  <si>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</si>
  <si>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</si>
  <si>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</si>
  <si>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</si>
  <si>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</si>
  <si>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</si>
  <si>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</si>
  <si>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</si>
  <si>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</si>
  <si>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</si>
  <si>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</si>
  <si>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</si>
  <si>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</si>
  <si>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</si>
  <si>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</si>
  <si>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</si>
  <si>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</si>
  <si>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</si>
  <si>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</si>
  <si>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</si>
  <si>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</si>
  <si>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</si>
  <si>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</si>
  <si>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</si>
  <si>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</si>
  <si>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</si>
  <si>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</si>
  <si>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</si>
  <si>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</si>
  <si>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</si>
  <si>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</si>
  <si>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</si>
  <si>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</si>
  <si>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</si>
  <si>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</si>
  <si>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</si>
  <si>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</si>
  <si>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</si>
  <si>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</si>
  <si>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</si>
  <si>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</si>
  <si>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</si>
  <si>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</si>
  <si>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</si>
  <si>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</si>
  <si>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</si>
  <si>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</si>
  <si>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</si>
  <si>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</si>
  <si>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</si>
  <si>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</si>
  <si>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</si>
  <si>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</si>
  <si>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</si>
  <si>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</si>
  <si>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</si>
  <si>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</si>
  <si>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</si>
  <si>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</si>
  <si>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</si>
  <si>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</si>
  <si>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</si>
  <si>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</si>
  <si>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</si>
  <si>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</si>
  <si>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</si>
  <si>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</si>
  <si>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</si>
  <si>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</si>
  <si>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</si>
  <si>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</si>
  <si>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</si>
  <si>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</si>
  <si>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</si>
  <si>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</si>
  <si>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</si>
  <si>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</si>
  <si>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</si>
  <si>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</si>
  <si>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</si>
  <si>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</si>
  <si>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</si>
  <si>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</si>
  <si>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</si>
  <si>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</si>
  <si>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</si>
  <si>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</si>
  <si>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</si>
  <si>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</si>
  <si>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</si>
  <si>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</si>
  <si>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</si>
  <si>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</si>
  <si>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</si>
  <si>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</si>
  <si>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</si>
  <si>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</si>
  <si>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</si>
  <si>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</si>
  <si>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</si>
  <si>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</si>
  <si>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</si>
  <si>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</si>
  <si>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</si>
  <si>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</si>
  <si>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</si>
  <si>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</si>
  <si>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</si>
  <si>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</si>
  <si>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</si>
  <si>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</si>
  <si>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</si>
  <si>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</si>
  <si>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</si>
  <si>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</si>
  <si>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</si>
  <si>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</si>
  <si>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</si>
  <si>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</si>
  <si>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</si>
  <si>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</si>
  <si>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</si>
  <si>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</si>
  <si>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</si>
  <si>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</si>
  <si>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</si>
  <si>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</si>
  <si>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</si>
  <si>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</si>
  <si>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</si>
  <si>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</si>
  <si>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</si>
  <si>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</si>
  <si>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</si>
  <si>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</si>
  <si>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</si>
  <si>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</si>
  <si>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</si>
  <si>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</si>
  <si>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</si>
  <si>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</si>
  <si>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</si>
  <si>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</si>
  <si>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</si>
  <si>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</si>
  <si>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</si>
  <si>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</si>
  <si>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</si>
  <si>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</si>
  <si>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</si>
  <si>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</si>
  <si>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</si>
  <si>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</si>
  <si>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</si>
  <si>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</si>
  <si>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</si>
  <si>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</si>
  <si>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</si>
  <si>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</si>
  <si>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</si>
  <si>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</si>
  <si>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</si>
  <si>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</si>
  <si>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</si>
  <si>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</si>
  <si>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</si>
  <si>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</si>
  <si>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</si>
  <si>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</si>
  <si>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</si>
  <si>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</si>
  <si>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</si>
  <si>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</si>
  <si>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</si>
  <si>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</si>
  <si>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</si>
  <si>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</si>
  <si>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</si>
  <si>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</si>
  <si>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</si>
  <si>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</si>
  <si>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</si>
  <si>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</si>
  <si>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</si>
  <si>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</si>
  <si>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</si>
  <si>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</si>
  <si>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</si>
  <si>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</si>
  <si>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</si>
  <si>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</si>
  <si>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</si>
  <si>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</si>
  <si>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</si>
  <si>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</si>
  <si>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</si>
  <si>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</si>
  <si>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</si>
  <si>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</si>
  <si>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</si>
  <si>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</si>
  <si>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</si>
  <si>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</si>
  <si>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</si>
  <si>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</si>
  <si>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</si>
  <si>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</si>
  <si>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</si>
  <si>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</si>
  <si>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</si>
  <si>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</si>
  <si>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</si>
  <si>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</si>
  <si>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</si>
  <si>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</si>
  <si>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</si>
  <si>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</si>
  <si>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</si>
  <si>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</si>
  <si>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</si>
  <si>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</si>
  <si>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</si>
  <si>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</si>
  <si>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</si>
  <si>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</si>
  <si>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</si>
  <si>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</si>
  <si>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</si>
  <si>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</si>
  <si>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</si>
  <si>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</si>
  <si>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</si>
  <si>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</si>
  <si>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</si>
  <si>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</si>
  <si>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</si>
  <si>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</si>
  <si>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</si>
  <si>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</si>
  <si>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</si>
  <si>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</si>
  <si>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</si>
  <si>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</si>
  <si>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</si>
  <si>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</si>
  <si>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</si>
  <si>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</si>
  <si>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</si>
  <si>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</si>
  <si>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</si>
  <si>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</si>
  <si>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</si>
  <si>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</si>
  <si>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</si>
  <si>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</si>
  <si>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</si>
  <si>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</si>
  <si>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</si>
  <si>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</si>
  <si>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</si>
  <si>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</si>
  <si>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</si>
  <si>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</si>
  <si>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</si>
  <si>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</si>
  <si>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</si>
  <si>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</si>
  <si>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</si>
  <si>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</si>
  <si>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</si>
  <si>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</si>
  <si>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</si>
  <si>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</si>
  <si>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</si>
  <si>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</si>
  <si>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</si>
  <si>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</si>
  <si>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</si>
  <si>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</si>
  <si>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</si>
  <si>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</si>
  <si>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</si>
  <si>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</si>
  <si>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</si>
  <si>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</si>
  <si>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</si>
  <si>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</si>
  <si>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</si>
  <si>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</si>
  <si>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</si>
  <si>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</si>
  <si>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</si>
  <si>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</si>
  <si>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</si>
  <si>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</si>
  <si>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</si>
  <si>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</si>
  <si>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</si>
  <si>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</si>
  <si>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</si>
  <si>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</si>
  <si>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</si>
  <si>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</si>
  <si>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</si>
  <si>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</si>
  <si>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</si>
  <si>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</si>
  <si>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</si>
  <si>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</si>
  <si>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</si>
  <si>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</si>
  <si>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</si>
  <si>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</si>
  <si>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</si>
  <si>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</si>
  <si>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</si>
  <si>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</si>
  <si>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</si>
  <si>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</si>
  <si>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</si>
  <si>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</si>
  <si>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</si>
  <si>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</si>
  <si>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</si>
  <si>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</si>
  <si>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</si>
  <si>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</si>
  <si>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</si>
  <si>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</si>
  <si>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</si>
  <si>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</si>
  <si>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</si>
  <si>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</si>
  <si>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</si>
  <si>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</si>
  <si>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</si>
  <si>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</si>
  <si>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</si>
  <si>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</si>
  <si>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</si>
  <si>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</si>
  <si>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</si>
  <si>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</si>
  <si>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</si>
  <si>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</si>
  <si>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</si>
  <si>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</si>
  <si>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</si>
  <si>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</si>
  <si>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</si>
  <si>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</si>
  <si>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</si>
  <si>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</si>
  <si>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</si>
  <si>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</si>
  <si>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</si>
  <si>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</si>
  <si>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</si>
  <si>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</si>
  <si>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</si>
  <si>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</si>
  <si>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</si>
  <si>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</si>
  <si>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</si>
  <si>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</si>
  <si>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</si>
  <si>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</si>
  <si>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</si>
  <si>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</si>
  <si>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</si>
  <si>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</si>
  <si>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</si>
  <si>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</si>
  <si>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</si>
  <si>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</si>
  <si>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</si>
  <si>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</si>
  <si>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</si>
  <si>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</si>
  <si>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</si>
  <si>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</si>
  <si>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</si>
  <si>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</si>
  <si>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</si>
  <si>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</si>
  <si>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</si>
  <si>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</si>
  <si>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</si>
  <si>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</si>
  <si>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</si>
  <si>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</si>
  <si>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</si>
  <si>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</si>
  <si>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</si>
  <si>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</si>
  <si>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</si>
  <si>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</si>
  <si>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</si>
  <si>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</si>
  <si>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</si>
  <si>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</si>
  <si>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</si>
  <si>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</si>
  <si>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</si>
  <si>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</si>
  <si>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</si>
  <si>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</si>
  <si>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</si>
  <si>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</si>
  <si>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</si>
  <si>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</si>
  <si>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</si>
  <si>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</si>
  <si>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</si>
  <si>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</si>
  <si>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</si>
  <si>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</si>
  <si>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</si>
  <si>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</si>
  <si>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</si>
  <si>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</si>
  <si>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</si>
  <si>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</si>
  <si>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</si>
  <si>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</si>
  <si>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</si>
  <si>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</si>
  <si>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</si>
  <si>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</si>
  <si>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</si>
  <si>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</si>
  <si>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</si>
  <si>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</si>
  <si>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</si>
  <si>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</si>
  <si>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</si>
  <si>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</si>
  <si>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</si>
  <si>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</si>
  <si>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</si>
  <si>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</si>
  <si>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</si>
  <si>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</si>
  <si>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</si>
  <si>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</si>
  <si>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</si>
  <si>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</si>
  <si>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</si>
  <si>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</si>
  <si>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</si>
  <si>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</si>
  <si>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</si>
  <si>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</si>
  <si>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</si>
  <si>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</si>
  <si>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</si>
  <si>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</si>
  <si>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</si>
  <si>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</si>
  <si>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</si>
  <si>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</si>
  <si>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</si>
  <si>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</si>
  <si>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</si>
  <si>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</si>
  <si>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</si>
  <si>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</si>
  <si>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</si>
  <si>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</si>
  <si>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</si>
  <si>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</si>
  <si>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</si>
  <si>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</si>
  <si>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</si>
  <si>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</si>
  <si>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</si>
  <si>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</si>
  <si>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</si>
  <si>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</si>
  <si>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</si>
  <si>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</si>
  <si>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</si>
  <si>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</si>
  <si>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</si>
  <si>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</si>
  <si>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</si>
  <si>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</si>
  <si>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</si>
  <si>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</si>
  <si>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</si>
  <si>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</si>
  <si>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</si>
  <si>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</si>
  <si>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</si>
  <si>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</si>
  <si>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</si>
  <si>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</si>
  <si>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</si>
  <si>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</si>
  <si>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</si>
  <si>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</si>
  <si>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</si>
  <si>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</si>
  <si>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</si>
  <si>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</si>
  <si>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</si>
  <si>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</si>
  <si>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</si>
  <si>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</si>
  <si>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</si>
  <si>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</si>
  <si>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</si>
  <si>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</si>
  <si>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</si>
  <si>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</si>
  <si>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</si>
  <si>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</si>
  <si>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</si>
  <si>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</si>
  <si>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</si>
  <si>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</si>
  <si>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</si>
  <si>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</si>
  <si>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</si>
  <si>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</si>
  <si>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</si>
  <si>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</si>
  <si>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</si>
  <si>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</si>
  <si>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</si>
  <si>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</si>
  <si>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</si>
  <si>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</si>
  <si>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</si>
  <si>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</si>
  <si>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</si>
  <si>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</si>
  <si>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</si>
  <si>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</si>
  <si>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</si>
  <si>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</si>
  <si>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</si>
  <si>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</si>
  <si>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</si>
  <si>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</si>
  <si>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</si>
  <si>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</si>
  <si>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</si>
  <si>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</si>
  <si>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</si>
  <si>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</si>
  <si>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</si>
  <si>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</si>
  <si>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</si>
  <si>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</si>
  <si>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</si>
  <si>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</si>
  <si>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</si>
  <si>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</si>
  <si>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</si>
  <si>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</si>
  <si>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</si>
  <si>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</si>
  <si>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</si>
  <si>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</si>
  <si>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</si>
  <si>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</si>
  <si>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</si>
  <si>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</si>
  <si>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</si>
  <si>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</si>
  <si>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</si>
  <si>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</si>
  <si>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</si>
  <si>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</si>
  <si>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</si>
  <si>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</si>
  <si>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</si>
  <si>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</si>
  <si>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</si>
  <si>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</si>
  <si>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</si>
  <si>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</si>
  <si>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</si>
  <si>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</si>
  <si>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</si>
  <si>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</si>
  <si>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</si>
  <si>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</si>
  <si>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</si>
  <si>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</si>
  <si>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</si>
  <si>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</si>
  <si>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</si>
  <si>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</si>
  <si>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</si>
  <si>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</si>
  <si>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</si>
  <si>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</si>
  <si>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</si>
  <si>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</si>
  <si>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</si>
  <si>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</si>
  <si>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</si>
  <si>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</si>
  <si>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</si>
  <si>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</si>
  <si>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</si>
  <si>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</si>
  <si>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</si>
  <si>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</si>
  <si>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</si>
  <si>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</si>
  <si>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</si>
  <si>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</si>
  <si>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</si>
  <si>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</si>
  <si>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</si>
  <si>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</si>
  <si>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</si>
  <si>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</si>
  <si>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</si>
  <si>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</si>
  <si>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</si>
  <si>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</si>
  <si>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</si>
  <si>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</si>
  <si>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</si>
  <si>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</si>
  <si>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</si>
  <si>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</si>
  <si>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</si>
  <si>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</si>
  <si>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</si>
  <si>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</si>
  <si>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</si>
  <si>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</si>
  <si>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</si>
  <si>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</si>
  <si>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</si>
  <si>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</si>
  <si>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</si>
  <si>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</si>
  <si>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</si>
  <si>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</si>
  <si>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</si>
  <si>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</si>
  <si>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</si>
  <si>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</si>
  <si>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</si>
  <si>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</si>
  <si>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</si>
  <si>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</si>
  <si>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</si>
  <si>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</si>
  <si>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</si>
  <si>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</si>
  <si>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</si>
  <si>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</si>
  <si>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</si>
  <si>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</si>
  <si>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</si>
  <si>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</si>
  <si>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</si>
  <si>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</si>
  <si>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</si>
  <si>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</si>
  <si>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</si>
  <si>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</si>
  <si>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</si>
  <si>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</si>
  <si>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</si>
  <si>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</si>
  <si>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</si>
  <si>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</si>
  <si>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</si>
  <si>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</si>
  <si>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</si>
  <si>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</si>
  <si>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</si>
  <si>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</si>
  <si>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</si>
  <si>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</si>
  <si>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</si>
  <si>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</si>
  <si>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</si>
  <si>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</si>
  <si>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</si>
  <si>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</si>
  <si>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</si>
  <si>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</si>
  <si>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</si>
  <si>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</si>
  <si>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</si>
  <si>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</si>
  <si>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</si>
  <si>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</si>
  <si>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</si>
  <si>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</si>
  <si>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</si>
  <si>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</si>
  <si>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</si>
  <si>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</si>
  <si>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</si>
  <si>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</si>
  <si>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</si>
  <si>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</si>
  <si>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</si>
  <si>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</si>
  <si>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</si>
  <si>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</si>
  <si>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</si>
  <si>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</si>
  <si>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</si>
  <si>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</si>
  <si>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</si>
  <si>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</si>
  <si>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</si>
  <si>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</si>
  <si>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</si>
  <si>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</si>
  <si>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</si>
  <si>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</si>
  <si>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</si>
  <si>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</si>
  <si>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</si>
  <si>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</si>
  <si>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</si>
  <si>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</si>
  <si>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</si>
  <si>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</si>
  <si>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</si>
  <si>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</si>
  <si>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</si>
  <si>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</si>
  <si>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</si>
  <si>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</si>
  <si>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</si>
  <si>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</si>
  <si>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</si>
  <si>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</si>
  <si>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</si>
  <si>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</si>
  <si>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</si>
  <si>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</si>
  <si>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</si>
  <si>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</si>
  <si>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</si>
  <si>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</si>
  <si>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</si>
  <si>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</si>
  <si>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</si>
  <si>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</si>
  <si>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</si>
  <si>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</si>
  <si>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</si>
  <si>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</si>
  <si>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</si>
  <si>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</si>
  <si>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</si>
  <si>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</si>
  <si>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</si>
  <si>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</si>
  <si>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</si>
  <si>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</si>
  <si>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</si>
  <si>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</si>
  <si>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</si>
  <si>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</si>
  <si>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</si>
  <si>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</si>
  <si>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</si>
  <si>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</si>
  <si>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</si>
  <si>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</si>
  <si>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</si>
  <si>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</si>
  <si>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</si>
  <si>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</si>
  <si>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</si>
  <si>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</si>
  <si>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</si>
  <si>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</si>
  <si>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</si>
  <si>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</si>
  <si>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</si>
  <si>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</si>
  <si>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</si>
  <si>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</si>
  <si>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</si>
  <si>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</si>
  <si>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</si>
  <si>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</si>
  <si>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</si>
  <si>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</si>
  <si>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</si>
  <si>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</si>
  <si>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</si>
  <si>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</si>
  <si>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</si>
  <si>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</si>
  <si>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</si>
  <si>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</si>
  <si>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</si>
  <si>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</si>
  <si>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</si>
  <si>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</si>
  <si>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</si>
  <si>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</si>
  <si>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</si>
  <si>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</si>
  <si>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</si>
  <si>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</si>
  <si>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</si>
  <si>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</si>
  <si>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</si>
  <si>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</si>
  <si>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</si>
  <si>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</si>
  <si>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</si>
  <si>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</si>
  <si>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</si>
  <si>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</si>
  <si>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</si>
  <si>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</si>
  <si>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</si>
  <si>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</si>
  <si>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</si>
  <si>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</si>
  <si>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</si>
  <si>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</si>
  <si>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</si>
  <si>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</si>
  <si>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</si>
  <si>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</si>
  <si>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</si>
  <si>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</si>
  <si>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</si>
  <si>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</si>
  <si>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</si>
  <si>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</si>
  <si>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</si>
  <si>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</si>
  <si>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</si>
  <si>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</si>
  <si>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</si>
  <si>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</si>
  <si>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</si>
  <si>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</si>
  <si>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</si>
  <si>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</si>
  <si>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</si>
  <si>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</si>
  <si>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</si>
  <si>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</si>
  <si>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</si>
  <si>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</si>
  <si>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</si>
  <si>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</si>
  <si>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</si>
  <si>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</si>
  <si>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</si>
  <si>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</si>
  <si>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</si>
  <si>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</si>
  <si>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</si>
  <si>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</si>
  <si>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</si>
  <si>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</si>
  <si>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</si>
  <si>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</si>
  <si>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</si>
  <si>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</si>
  <si>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</si>
  <si>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</si>
  <si>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</si>
  <si>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</si>
  <si>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</si>
  <si>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</si>
  <si>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</si>
  <si>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</si>
  <si>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</si>
  <si>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</si>
  <si>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</si>
  <si>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</si>
  <si>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</si>
  <si>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</si>
  <si>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</si>
  <si>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</si>
  <si>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</si>
  <si>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</si>
  <si>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</si>
  <si>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</si>
  <si>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</si>
  <si>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</si>
  <si>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</si>
  <si>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</si>
  <si>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</si>
  <si>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</si>
  <si>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</si>
  <si>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</si>
  <si>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</si>
  <si>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</si>
  <si>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</si>
  <si>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</si>
  <si>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</si>
  <si>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</si>
  <si>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</si>
  <si>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</si>
  <si>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</si>
  <si>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</si>
  <si>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</si>
  <si>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</si>
  <si>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</si>
  <si>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</si>
  <si>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</si>
  <si>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</si>
  <si>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</si>
  <si>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</si>
  <si>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</si>
  <si>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</si>
  <si>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</si>
  <si>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</si>
  <si>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</si>
  <si>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</si>
  <si>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</si>
  <si>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</si>
  <si>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</si>
  <si>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</si>
  <si>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</si>
  <si>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</si>
  <si>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</si>
  <si>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</si>
  <si>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</si>
  <si>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</si>
  <si>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</si>
  <si>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</si>
  <si>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</si>
  <si>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</si>
  <si>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</si>
  <si>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</si>
  <si>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</si>
  <si>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</si>
  <si>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</si>
  <si>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</si>
  <si>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</si>
  <si>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</si>
  <si>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</si>
  <si>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</si>
  <si>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</si>
  <si>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</si>
  <si>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</si>
  <si>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</si>
  <si>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</si>
  <si>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</si>
  <si>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</si>
  <si>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</si>
  <si>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</si>
  <si>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</si>
  <si>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</si>
  <si>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</si>
  <si>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</si>
  <si>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</si>
  <si>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</si>
  <si>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</si>
  <si>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</si>
  <si>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</si>
  <si>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</si>
  <si>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</si>
  <si>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</si>
  <si>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</si>
  <si>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</si>
  <si>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</si>
  <si>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</si>
  <si>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</si>
  <si>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</si>
  <si>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</si>
  <si>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</si>
  <si>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</si>
  <si>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</si>
  <si>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</si>
  <si>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</si>
  <si>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</si>
  <si>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</si>
  <si>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</si>
  <si>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</si>
  <si>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</si>
  <si>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</si>
  <si>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</si>
  <si>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</si>
  <si>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</si>
  <si>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</si>
  <si>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</si>
  <si>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</si>
  <si>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</si>
  <si>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</si>
  <si>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</si>
  <si>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</si>
  <si>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</si>
  <si>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</si>
  <si>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</si>
  <si>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</si>
  <si>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</si>
  <si>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</si>
  <si>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</si>
  <si>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</si>
  <si>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</si>
  <si>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</si>
  <si>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</si>
  <si>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</si>
  <si>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</si>
  <si>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</si>
  <si>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</si>
  <si>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</si>
  <si>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</si>
  <si>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</si>
  <si>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</si>
  <si>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</si>
  <si>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</si>
  <si>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</si>
  <si>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</si>
  <si>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</si>
  <si>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</si>
  <si>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</si>
  <si>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</si>
  <si>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</si>
  <si>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</si>
  <si>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</si>
  <si>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</si>
  <si>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</si>
  <si>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</si>
  <si>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</si>
  <si>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</si>
  <si>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</si>
  <si>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</si>
  <si>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</si>
  <si>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</si>
  <si>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</si>
  <si>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</si>
  <si>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</si>
  <si>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</si>
  <si>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</si>
  <si>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</si>
  <si>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</si>
  <si>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</si>
  <si>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</si>
  <si>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</si>
  <si>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</si>
  <si>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</si>
  <si>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</si>
  <si>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</si>
  <si>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</si>
  <si>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</si>
  <si>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</si>
  <si>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</si>
  <si>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</si>
  <si>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</si>
  <si>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</si>
  <si>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</si>
  <si>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</si>
  <si>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</si>
  <si>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</si>
  <si>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</si>
  <si>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</si>
  <si>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</si>
  <si>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</si>
  <si>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</si>
  <si>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</si>
  <si>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</si>
  <si>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</si>
  <si>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</si>
  <si>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</si>
  <si>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</si>
  <si>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</si>
  <si>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</si>
  <si>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</si>
  <si>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</si>
  <si>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</si>
  <si>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</si>
  <si>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</si>
  <si>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</si>
  <si>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</si>
  <si>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</si>
  <si>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</si>
  <si>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</si>
  <si>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</si>
  <si>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</si>
  <si>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</si>
  <si>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</si>
  <si>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</si>
  <si>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</si>
  <si>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</si>
  <si>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</si>
  <si>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</si>
  <si>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</si>
  <si>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</si>
  <si>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</si>
  <si>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</si>
  <si>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</si>
  <si>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</si>
  <si>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</si>
  <si>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</si>
  <si>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</si>
  <si>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</si>
  <si>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</si>
  <si>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</si>
  <si>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</si>
  <si>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</si>
  <si>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</si>
  <si>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</si>
  <si>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</si>
  <si>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</si>
  <si>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</si>
  <si>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</si>
  <si>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</si>
  <si>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</si>
  <si>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</si>
  <si>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</si>
  <si>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</si>
  <si>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</si>
  <si>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</si>
  <si>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</si>
  <si>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</si>
  <si>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</si>
  <si>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</si>
  <si>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</si>
  <si>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</si>
  <si>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</si>
  <si>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</si>
  <si>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</si>
  <si>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</si>
  <si>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</si>
  <si>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</si>
  <si>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</si>
  <si>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</si>
  <si>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</si>
  <si>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</si>
  <si>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</si>
  <si>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</si>
  <si>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</si>
  <si>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</si>
  <si>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</si>
  <si>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</si>
  <si>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</si>
  <si>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</si>
  <si>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</si>
  <si>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</si>
  <si>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</si>
  <si>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</si>
  <si>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</si>
  <si>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</si>
  <si>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</si>
  <si>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</si>
  <si>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</si>
  <si>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</si>
  <si>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</si>
  <si>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</si>
  <si>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</si>
  <si>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</si>
  <si>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</si>
  <si>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</si>
  <si>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</si>
  <si>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</si>
  <si>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</si>
  <si>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</si>
  <si>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</si>
  <si>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</si>
  <si>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</si>
  <si>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</si>
  <si>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</si>
  <si>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</si>
  <si>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</si>
  <si>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</si>
  <si>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</si>
  <si>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</si>
  <si>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</si>
  <si>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</si>
  <si>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</si>
  <si>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</si>
  <si>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</si>
  <si>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</si>
  <si>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</si>
  <si>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</si>
  <si>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</si>
  <si>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</si>
  <si>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</si>
  <si>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</si>
  <si>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</si>
  <si>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</si>
  <si>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</si>
  <si>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</si>
  <si>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</si>
  <si>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</si>
  <si>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</si>
  <si>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</si>
  <si>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</si>
  <si>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</si>
  <si>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</si>
  <si>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</si>
  <si>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</si>
  <si>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</si>
  <si>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</si>
  <si>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</si>
  <si>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</si>
  <si>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</si>
  <si>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</si>
  <si>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</si>
  <si>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</si>
  <si>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</si>
  <si>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</si>
  <si>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</si>
  <si>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</si>
  <si>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</si>
  <si>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</si>
  <si>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</si>
  <si>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</si>
  <si>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</si>
  <si>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</si>
  <si>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</si>
  <si>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</si>
  <si>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</si>
  <si>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</si>
  <si>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</si>
  <si>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</si>
  <si>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</si>
  <si>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</si>
  <si>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</si>
  <si>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</si>
  <si>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</si>
  <si>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</si>
  <si>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</si>
  <si>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</si>
  <si>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</si>
  <si>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</si>
  <si>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</si>
  <si>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</si>
  <si>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</si>
  <si>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</si>
  <si>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</si>
  <si>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</si>
  <si>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</si>
  <si>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</si>
  <si>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</si>
  <si>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</si>
  <si>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</si>
  <si>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</si>
  <si>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</si>
  <si>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</si>
  <si>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</si>
  <si>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</si>
  <si>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</si>
  <si>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</si>
  <si>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</si>
  <si>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</si>
  <si>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</si>
  <si>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</si>
  <si>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</si>
  <si>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</si>
  <si>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</si>
  <si>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</si>
  <si>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</si>
  <si>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</si>
  <si>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</si>
  <si>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</si>
  <si>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</si>
  <si>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</si>
  <si>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</si>
  <si>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</si>
  <si>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</si>
  <si>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</si>
  <si>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</si>
  <si>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</si>
  <si>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</si>
  <si>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</si>
  <si>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</si>
  <si>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</si>
  <si>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</si>
  <si>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</si>
  <si>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</si>
  <si>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</si>
  <si>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</si>
  <si>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</si>
  <si>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</si>
  <si>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</si>
  <si>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</si>
  <si>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</si>
  <si>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</si>
  <si>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</si>
  <si>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</si>
  <si>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</si>
  <si>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</si>
  <si>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</si>
  <si>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</si>
  <si>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</si>
  <si>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</si>
  <si>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</si>
  <si>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</si>
  <si>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</si>
  <si>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</si>
  <si>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</si>
  <si>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</si>
  <si>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</si>
  <si>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</si>
  <si>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</si>
  <si>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</si>
  <si>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</si>
  <si>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</si>
  <si>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</si>
  <si>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</si>
  <si>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</si>
  <si>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</si>
  <si>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</si>
  <si>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</si>
  <si>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</si>
  <si>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</si>
  <si>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</si>
  <si>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</si>
  <si>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</si>
  <si>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</si>
  <si>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</si>
  <si>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</si>
  <si>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</si>
  <si>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</si>
  <si>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</si>
  <si>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</si>
  <si>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</si>
  <si>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</si>
  <si>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</si>
  <si>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</si>
  <si>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</si>
  <si>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</si>
  <si>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</si>
  <si>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</si>
  <si>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</si>
  <si>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</si>
  <si>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</si>
  <si>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</si>
  <si>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</si>
  <si>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</si>
  <si>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</si>
  <si>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</si>
  <si>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</si>
  <si>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</si>
  <si>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</si>
  <si>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</si>
  <si>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</si>
  <si>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</si>
  <si>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</si>
  <si>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</si>
  <si>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</si>
  <si>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</si>
  <si>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</si>
  <si>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</si>
  <si>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</si>
  <si>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</si>
  <si>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</si>
  <si>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</si>
  <si>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</si>
  <si>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</si>
  <si>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</si>
  <si>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</si>
  <si>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</si>
  <si>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</si>
  <si>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</si>
  <si>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</si>
  <si>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</si>
  <si>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</si>
  <si>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</si>
  <si>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</si>
  <si>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</si>
  <si>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</si>
  <si>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</si>
  <si>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</si>
  <si>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</si>
  <si>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</si>
  <si>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</si>
  <si>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</si>
  <si>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</si>
  <si>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</si>
  <si>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</si>
  <si>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</si>
  <si>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</si>
  <si>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</si>
  <si>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</si>
  <si>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</si>
  <si>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</si>
  <si>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</si>
  <si>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</si>
  <si>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</si>
  <si>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</si>
  <si>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</si>
  <si>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</si>
  <si>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</si>
  <si>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</si>
  <si>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</si>
  <si>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</si>
  <si>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</si>
  <si>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</si>
  <si>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</si>
  <si>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</si>
  <si>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</si>
  <si>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</si>
  <si>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</si>
  <si>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</si>
  <si>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</si>
  <si>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</si>
  <si>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</si>
  <si>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</si>
  <si>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</si>
  <si>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</si>
  <si>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</si>
  <si>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</si>
  <si>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</si>
  <si>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</si>
  <si>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</si>
  <si>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</si>
  <si>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</si>
  <si>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</si>
  <si>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</si>
  <si>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</si>
  <si>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</si>
  <si>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</si>
  <si>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</si>
  <si>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</si>
  <si>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</si>
  <si>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</si>
  <si>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</si>
  <si>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</si>
  <si>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</si>
  <si>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</si>
  <si>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</si>
  <si>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</si>
  <si>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</si>
  <si>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</si>
  <si>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</si>
  <si>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</si>
  <si>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</si>
  <si>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</si>
  <si>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</si>
  <si>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</si>
  <si>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</si>
  <si>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</si>
  <si>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</si>
  <si>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</si>
  <si>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</si>
  <si>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</si>
  <si>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</si>
  <si>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</si>
  <si>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</si>
  <si>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</si>
  <si>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</si>
  <si>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</si>
  <si>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</si>
  <si>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</si>
  <si>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</si>
  <si>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</si>
  <si>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</si>
  <si>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</si>
  <si>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</si>
  <si>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</si>
  <si>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</si>
  <si>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</si>
  <si>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</si>
  <si>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</si>
  <si>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</si>
  <si>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</si>
  <si>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</si>
  <si>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</si>
  <si>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</si>
  <si>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</si>
  <si>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</si>
  <si>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</si>
  <si>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</si>
  <si>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</si>
  <si>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</si>
  <si>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</si>
  <si>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</si>
  <si>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</si>
  <si>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</si>
  <si>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</si>
  <si>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</si>
  <si>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</si>
  <si>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</si>
  <si>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</si>
  <si>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</si>
  <si>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</si>
  <si>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</si>
  <si>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</si>
  <si>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</si>
  <si>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</si>
  <si>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</si>
  <si>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</si>
  <si>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</si>
  <si>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</si>
  <si>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</si>
  <si>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</si>
  <si>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</si>
  <si>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</si>
  <si>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</si>
  <si>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</si>
  <si>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</si>
  <si>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</si>
  <si>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</si>
  <si>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</si>
  <si>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</si>
  <si>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</si>
  <si>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</si>
  <si>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</si>
  <si>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</si>
  <si>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</si>
  <si>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</si>
  <si>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</si>
  <si>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</si>
  <si>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</si>
  <si>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</si>
  <si>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</si>
  <si>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</si>
  <si>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</si>
  <si>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</si>
  <si>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</si>
  <si>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</si>
  <si>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</si>
  <si>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</si>
  <si>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</si>
  <si>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</si>
  <si>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</si>
  <si>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</si>
  <si>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</si>
  <si>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</si>
  <si>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</si>
  <si>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</si>
  <si>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</si>
  <si>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</si>
  <si>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</si>
  <si>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</si>
  <si>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</si>
  <si>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</si>
  <si>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</si>
  <si>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</si>
  <si>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</si>
  <si>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</si>
  <si>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</si>
  <si>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</si>
  <si>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</si>
  <si>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</si>
  <si>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</si>
  <si>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</si>
  <si>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</si>
  <si>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</si>
  <si>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</si>
  <si>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</si>
  <si>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</si>
  <si>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</si>
  <si>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</si>
  <si>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</si>
  <si>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</si>
  <si>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</si>
  <si>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</si>
  <si>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</si>
  <si>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</si>
  <si>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</si>
  <si>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</si>
  <si>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</si>
  <si>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</si>
  <si>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</si>
  <si>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</si>
  <si>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</si>
  <si>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</si>
  <si>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</si>
  <si>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</si>
  <si>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</si>
  <si>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</si>
  <si>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</si>
  <si>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</si>
  <si>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</si>
  <si>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</si>
  <si>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</si>
  <si>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</si>
  <si>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</si>
  <si>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</si>
  <si>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</si>
  <si>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</si>
  <si>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</si>
  <si>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</si>
  <si>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</si>
  <si>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</si>
  <si>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</si>
  <si>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</si>
  <si>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</si>
  <si>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</si>
  <si>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</si>
  <si>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</si>
  <si>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</si>
  <si>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</si>
  <si>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</si>
  <si>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</si>
  <si>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</si>
  <si>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</si>
  <si>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</si>
  <si>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</si>
  <si>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</si>
  <si>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</si>
  <si>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</si>
  <si>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</si>
  <si>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</si>
  <si>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</si>
  <si>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</si>
  <si>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</si>
  <si>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</si>
  <si>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</si>
  <si>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</si>
  <si>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</si>
  <si>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</si>
  <si>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</si>
  <si>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</si>
  <si>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</si>
  <si>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</si>
  <si>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</si>
  <si>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</si>
  <si>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</si>
  <si>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</si>
  <si>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</si>
  <si>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</si>
  <si>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</si>
  <si>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</si>
  <si>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</si>
  <si>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</si>
  <si>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</si>
  <si>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</si>
  <si>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</si>
  <si>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</si>
  <si>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</si>
  <si>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</si>
  <si>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</si>
  <si>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</si>
  <si>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</si>
  <si>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</si>
  <si>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</si>
  <si>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</si>
  <si>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</si>
  <si>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</si>
  <si>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</si>
  <si>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</si>
  <si>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</si>
  <si>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</si>
  <si>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</si>
  <si>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</si>
  <si>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</si>
  <si>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</si>
  <si>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</si>
  <si>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</si>
  <si>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</si>
  <si>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</si>
  <si>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</si>
  <si>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</si>
  <si>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</si>
  <si>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</si>
  <si>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</si>
  <si>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</si>
  <si>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</si>
  <si>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</si>
  <si>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</si>
  <si>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</si>
  <si>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</si>
  <si>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</si>
  <si>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</si>
  <si>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</si>
  <si>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</si>
  <si>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</si>
  <si>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</si>
  <si>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</si>
  <si>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</si>
  <si>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</si>
  <si>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</si>
  <si>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</si>
  <si>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</si>
  <si>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</si>
  <si>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</si>
  <si>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</si>
  <si>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</si>
  <si>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</si>
  <si>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</si>
  <si>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</si>
  <si>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</si>
  <si>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</si>
  <si>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</si>
  <si>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</si>
  <si>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</si>
  <si>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</si>
  <si>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</si>
  <si>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</si>
  <si>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</si>
  <si>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</si>
  <si>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</si>
  <si>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</si>
  <si>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</si>
  <si>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</si>
  <si>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</si>
  <si>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</si>
  <si>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</si>
  <si>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</si>
  <si>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</si>
  <si>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</si>
  <si>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</si>
  <si>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</si>
  <si>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</si>
  <si>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</si>
  <si>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</si>
  <si>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</si>
  <si>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</si>
  <si>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</si>
  <si>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</si>
  <si>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</si>
  <si>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</si>
  <si>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</si>
  <si>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</si>
  <si>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</si>
  <si>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</si>
  <si>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</si>
  <si>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</si>
  <si>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</si>
  <si>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</si>
  <si>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</si>
  <si>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</si>
  <si>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</si>
  <si>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</si>
  <si>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</si>
  <si>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</si>
  <si>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</si>
  <si>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</si>
  <si>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</si>
  <si>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</si>
  <si>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</si>
  <si>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</si>
  <si>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</si>
  <si>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</si>
  <si>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</si>
  <si>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</si>
  <si>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</si>
  <si>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</si>
  <si>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</si>
  <si>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</si>
  <si>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</si>
  <si>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</si>
  <si>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</si>
  <si>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</si>
  <si>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</si>
  <si>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</si>
  <si>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</si>
  <si>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</si>
  <si>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</si>
  <si>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</si>
  <si>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</si>
  <si>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</si>
  <si>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</si>
  <si>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</si>
  <si>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</si>
  <si>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</si>
  <si>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</si>
  <si>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</si>
  <si>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</si>
  <si>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</si>
  <si>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</si>
  <si>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</si>
  <si>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</si>
  <si>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</si>
  <si>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</si>
  <si>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</si>
  <si>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</si>
  <si>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</si>
  <si>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</si>
  <si>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</si>
  <si>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</si>
  <si>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</si>
  <si>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</si>
  <si>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</si>
  <si>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</si>
  <si>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</si>
  <si>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</si>
  <si>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</si>
  <si>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</si>
  <si>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</si>
  <si>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</si>
  <si>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</si>
  <si>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</si>
  <si>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</si>
  <si>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</si>
  <si>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</si>
  <si>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</si>
  <si>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</si>
  <si>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</si>
  <si>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</si>
  <si>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</si>
  <si>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</si>
  <si>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</si>
  <si>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</si>
  <si>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</si>
  <si>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</si>
  <si>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</si>
  <si>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</si>
  <si>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</si>
  <si>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</si>
  <si>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</si>
  <si>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</si>
  <si>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</si>
  <si>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</si>
  <si>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</si>
  <si>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</si>
  <si>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</si>
  <si>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</si>
  <si>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</si>
  <si>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</si>
  <si>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</si>
  <si>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</si>
  <si>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</si>
  <si>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</si>
  <si>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</si>
  <si>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</si>
  <si>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</si>
  <si>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</si>
  <si>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</si>
  <si>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</si>
  <si>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</si>
  <si>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</si>
  <si>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</si>
  <si>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</si>
  <si>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</si>
  <si>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</si>
  <si>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</si>
  <si>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</si>
  <si>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</si>
  <si>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</si>
  <si>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</si>
  <si>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</si>
  <si>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</si>
  <si>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</si>
  <si>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</si>
  <si>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</si>
  <si>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</si>
  <si>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</si>
  <si>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</si>
  <si>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</si>
  <si>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</si>
  <si>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</si>
  <si>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</si>
  <si>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</si>
  <si>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</si>
  <si>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</si>
  <si>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</si>
  <si>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</si>
  <si>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</si>
  <si>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</si>
  <si>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</si>
  <si>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</si>
  <si>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</si>
  <si>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</si>
  <si>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</si>
  <si>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</si>
  <si>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</si>
  <si>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</si>
  <si>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</si>
  <si>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</si>
  <si>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</si>
  <si>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</si>
  <si>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</si>
  <si>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</si>
  <si>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</si>
  <si>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</si>
  <si>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</si>
  <si>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</si>
  <si>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</si>
  <si>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</si>
  <si>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</si>
  <si>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</si>
  <si>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</si>
  <si>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</si>
  <si>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</si>
  <si>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</si>
  <si>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</si>
  <si>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</si>
  <si>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</si>
  <si>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</si>
  <si>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</si>
  <si>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</si>
  <si>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</si>
  <si>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</si>
  <si>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</si>
  <si>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</si>
  <si>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</si>
  <si>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</si>
  <si>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</si>
  <si>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</si>
  <si>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</si>
  <si>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</si>
  <si>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</si>
  <si>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</si>
  <si>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</si>
  <si>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</si>
  <si>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</si>
  <si>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</si>
  <si>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</si>
  <si>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</si>
  <si>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</si>
  <si>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</si>
  <si>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</si>
  <si>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</si>
  <si>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</si>
  <si>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</si>
  <si>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</si>
  <si>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</si>
  <si>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</si>
  <si>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</si>
  <si>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</si>
  <si>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</si>
  <si>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</si>
  <si>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</si>
  <si>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</si>
  <si>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</si>
  <si>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</si>
  <si>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</si>
  <si>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</si>
  <si>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</si>
  <si>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</si>
  <si>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</si>
  <si>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</si>
  <si>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</si>
  <si>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</si>
  <si>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</si>
  <si>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</si>
  <si>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</si>
  <si>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</si>
  <si>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</si>
  <si>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</si>
  <si>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</si>
  <si>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</si>
  <si>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</si>
  <si>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</si>
  <si>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</si>
  <si>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</si>
  <si>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</si>
  <si>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</si>
  <si>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</si>
  <si>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</si>
  <si>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</si>
  <si>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</si>
  <si>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</si>
  <si>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</si>
  <si>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</si>
  <si>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</si>
  <si>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</si>
  <si>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</si>
  <si>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</si>
  <si>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</si>
  <si>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</si>
  <si>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</si>
  <si>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</si>
  <si>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</si>
  <si>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</si>
  <si>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</si>
  <si>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</si>
  <si>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</si>
  <si>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</si>
  <si>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</si>
  <si>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</si>
  <si>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</si>
  <si>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</si>
  <si>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</si>
  <si>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</si>
  <si>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</si>
  <si>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</si>
  <si>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</si>
  <si>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</si>
  <si>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</si>
  <si>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</si>
  <si>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</si>
  <si>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</si>
  <si>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</si>
  <si>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</si>
  <si>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</si>
  <si>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</si>
  <si>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</si>
  <si>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</si>
  <si>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</si>
  <si>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</si>
  <si>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</si>
  <si>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</si>
  <si>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</si>
  <si>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</si>
  <si>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</si>
  <si>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</si>
  <si>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</si>
  <si>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</si>
  <si>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</si>
  <si>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</si>
  <si>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</si>
  <si>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</si>
  <si>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</si>
  <si>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</si>
  <si>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</si>
  <si>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</si>
  <si>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</si>
  <si>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Solarpflicht_BE</t>
  </si>
  <si>
    <t>EBF Neubau wohnen [m2]:</t>
  </si>
  <si>
    <t>Qh,eff  [kWh/m2]</t>
  </si>
  <si>
    <t>Ewohnen  [kWh/m2]</t>
  </si>
  <si>
    <t>Halber Normbedarf [kWh]</t>
  </si>
  <si>
    <t>Zone:</t>
  </si>
  <si>
    <t>Erzeugung:</t>
  </si>
  <si>
    <t>Fläche thermische Solaranlage  [m2]</t>
  </si>
  <si>
    <t>spezifischer Solarertrag  [kWh/m2]</t>
  </si>
  <si>
    <t>Solarertrag  [kWh]</t>
  </si>
  <si>
    <t>Installierte Leistung PV  [kWp]</t>
  </si>
  <si>
    <t>Spezifischer PV-Erstrag  [kWh/kWp]</t>
  </si>
  <si>
    <t>PV-Ertrag  [kWh]</t>
  </si>
  <si>
    <t>Jahresertrag PV + Thermie  [kWh]</t>
  </si>
  <si>
    <t>Solarpflicht erfüllt?</t>
  </si>
  <si>
    <t>Projektwert</t>
  </si>
  <si>
    <r>
      <t>Q</t>
    </r>
    <r>
      <rPr>
        <vertAlign val="subscript"/>
        <sz val="10"/>
        <rFont val="Arial"/>
        <family val="2"/>
      </rPr>
      <t>h,eff</t>
    </r>
  </si>
  <si>
    <r>
      <t>E</t>
    </r>
    <r>
      <rPr>
        <vertAlign val="subscript"/>
        <sz val="10"/>
        <rFont val="Arial"/>
        <family val="2"/>
      </rPr>
      <t>wohnen</t>
    </r>
  </si>
  <si>
    <r>
      <t xml:space="preserve"> m</t>
    </r>
    <r>
      <rPr>
        <vertAlign val="superscript"/>
        <sz val="9"/>
        <rFont val="Arial"/>
        <family val="2"/>
      </rPr>
      <t>2</t>
    </r>
  </si>
  <si>
    <t xml:space="preserve"> kWh</t>
  </si>
  <si>
    <t>Jahresertrag Photovoltaik</t>
  </si>
  <si>
    <t>Heizwärmebedarf Wohnbauten (Neubau)</t>
  </si>
  <si>
    <t>Halber Normbedarf</t>
  </si>
  <si>
    <t>P9</t>
  </si>
  <si>
    <t>P18</t>
  </si>
  <si>
    <t>P19</t>
  </si>
  <si>
    <t>P25</t>
  </si>
  <si>
    <t>P26</t>
  </si>
  <si>
    <t>P27</t>
  </si>
  <si>
    <t>P28</t>
  </si>
  <si>
    <t>P29</t>
  </si>
  <si>
    <t>P30</t>
  </si>
  <si>
    <t>P31</t>
  </si>
  <si>
    <t>Berner Energiegesetz 2026</t>
  </si>
  <si>
    <t>Loi sur l'énergie bernoise 2026</t>
  </si>
  <si>
    <t>Diritto energetico bernese 2026</t>
  </si>
  <si>
    <t>Energiegesetz Kt. Bern 1. 1. 2026</t>
  </si>
  <si>
    <t>Blatt "Uebersetzung":  E702 - G702, geändert</t>
  </si>
  <si>
    <t>Neu: Berner Energiegesetz 2026</t>
  </si>
  <si>
    <t>Blatt "Uebersetzung":  E4 - G5, neue Versionsnummer / D1, Gültigkeitsdatum</t>
  </si>
  <si>
    <t>Neu: Version 2.96, Gültigkeitsdatum neu 2026</t>
  </si>
  <si>
    <t>Blatt "Uebersetzung": E93 - G93, bei Bern Hallenbad gelöscht</t>
  </si>
  <si>
    <t>Im Nachweis Kt. Bern soll das Hallenbad nicht mehr ausgewählt werden können.</t>
  </si>
  <si>
    <t>F24</t>
  </si>
  <si>
    <t>E20</t>
  </si>
  <si>
    <t>Solarpflicht: Anrechenbare Gebäudefläche</t>
  </si>
  <si>
    <t>Anrechenbare Gebäudefläche:</t>
  </si>
  <si>
    <t>Anrechenbare Gebäudefläche</t>
  </si>
  <si>
    <t>Blatt "Eingaben": Neue Zeile E20</t>
  </si>
  <si>
    <t>Eingabe der "anrechenbaren Gebäudefläche" zur Ermittlung der vereinfachten Solarpflicht</t>
  </si>
  <si>
    <t>Vereinfachte Solarpflicht nach 19c KEnV?</t>
  </si>
  <si>
    <t>EBF Neubau nicht wohnen [m2]</t>
  </si>
  <si>
    <t>Mischnutzung Neubau?</t>
  </si>
  <si>
    <t>Neu: vereinfachte Solarpflicht bei Misch-Nutzung (Neubau) nicht möglich.</t>
  </si>
  <si>
    <t>Einhaltung vereinfachte Solarpflicht Kt. Bern ergänzt.</t>
  </si>
  <si>
    <t>Jahresertrag Solarthermie</t>
  </si>
  <si>
    <t>Gesamtjahresertrag (Solarthermie + PV)</t>
  </si>
  <si>
    <t>Norm-Strombedarf Wohnbauten</t>
  </si>
  <si>
    <t>Erläuterung</t>
  </si>
  <si>
    <t>Explication</t>
  </si>
  <si>
    <t>Hinweis: Die automatische Berechnung des Registerblatts erfolgt, wenn der Neubau ausschliesslich Wohnnutzung und eine</t>
  </si>
  <si>
    <t>≤  300</t>
  </si>
  <si>
    <t>L'efficacité énergétique globale pondérée (EEGp), conformément à l'article 42 LCEn et à l'article 30 OCEn, ainsi que l'obligation</t>
  </si>
  <si>
    <t>Pour les petits bâtiments d’habitation (surface déterminante de construction ≤ 300 m²), construits neufs et de manière</t>
  </si>
  <si>
    <t xml:space="preserve">Remarque : Le calcul automatique de la feuille s’effectue si le nouveau bâtiment est exclusivement destiné à l'habitation </t>
  </si>
  <si>
    <t>et présente une surface déterminante de construction ≤ 300 m².</t>
  </si>
  <si>
    <t>P20</t>
  </si>
  <si>
    <t>P32</t>
  </si>
  <si>
    <t>P34</t>
  </si>
  <si>
    <r>
      <t>anrechenbare Gebäudefläche ≤ 300 m</t>
    </r>
    <r>
      <rPr>
        <vertAlign val="superscript"/>
        <sz val="9"/>
        <rFont val="Arial"/>
        <family val="2"/>
      </rPr>
      <t>2</t>
    </r>
    <r>
      <rPr>
        <sz val="9"/>
        <rFont val="Arial"/>
        <family val="2"/>
      </rPr>
      <t xml:space="preserve"> aufweist.</t>
    </r>
  </si>
  <si>
    <t>La moitié du besoin normalisé</t>
  </si>
  <si>
    <t>Surface déterminante de construction</t>
  </si>
  <si>
    <t>Besoins de chauffage des logements neufs</t>
  </si>
  <si>
    <t>Besoins électriques normalisés de l’habitat</t>
  </si>
  <si>
    <t>Production annuelle solaire thermique</t>
  </si>
  <si>
    <t>Production annuelle photovoltaïque</t>
  </si>
  <si>
    <t>Production annuelle solaire (thermique et PV)</t>
  </si>
  <si>
    <t>Valeur du projet</t>
  </si>
  <si>
    <t>Anpassungen Darstellung und Text gemäss Wunsch Kt. Bern</t>
  </si>
  <si>
    <t>Grenze für Solarpflicht kleine Wohngebäude &lt;=300m2 (statt &lt;300m2)</t>
  </si>
  <si>
    <t>Anpassung französischer Text</t>
  </si>
  <si>
    <t>P22</t>
  </si>
  <si>
    <t>P24</t>
  </si>
  <si>
    <t>Normbedarf Warmwasser Wohnbauten</t>
  </si>
  <si>
    <r>
      <t>Q</t>
    </r>
    <r>
      <rPr>
        <vertAlign val="subscript"/>
        <sz val="10"/>
        <rFont val="Arial"/>
        <family val="2"/>
      </rPr>
      <t>w</t>
    </r>
  </si>
  <si>
    <t>Besoin normalisé en eau chaude</t>
  </si>
  <si>
    <t>Qww [kWh/m2]</t>
  </si>
  <si>
    <t>v2.97</t>
  </si>
  <si>
    <t>Ergänzung Warmwasser-Bedarf zur Bestimmung des halben Normbedarfs</t>
  </si>
  <si>
    <t>Beilage zu EN-Solar BE</t>
  </si>
  <si>
    <t>Berechnung halber Normbedarf</t>
  </si>
  <si>
    <t>Es ist in jedem Fall sowohl die gewichtete Gesamtenergieeffizienz (gGEE) nach Art. 42 KEnG und Art. 30 KEnV</t>
  </si>
  <si>
    <t>Gesamtjahresertrag entspricht mindestens halbem Normbedarf?</t>
  </si>
  <si>
    <t>Annexe pour EN-Solaire BE</t>
  </si>
  <si>
    <t>Calcul moitié du besoin normalisé</t>
  </si>
  <si>
    <t>als auch die Solarpflicht zu erfüllen.</t>
  </si>
  <si>
    <t>d’utiliser l’énergie solaire, doivent être respectées dans tous les cas.</t>
  </si>
  <si>
    <r>
      <t>Bei neuen auf Dauer angelegten kleinen Wohnbauten (anrechenbare Gebäudefläche ≤ 300 m</t>
    </r>
    <r>
      <rPr>
        <vertAlign val="superscript"/>
        <sz val="9"/>
        <rFont val="Arial"/>
        <family val="2"/>
      </rPr>
      <t>2</t>
    </r>
    <r>
      <rPr>
        <sz val="9"/>
        <rFont val="Arial"/>
        <family val="2"/>
      </rPr>
      <t>) kann die erleichterte Solarpflicht</t>
    </r>
  </si>
  <si>
    <t>nach Art. 39b KEnG geltend gemacht werden, wenn der Gesamtsolarertrag mindestens dem halben Normbedarf entspricht.</t>
  </si>
  <si>
    <t>permanente, l'obligation allégée selon l'art. 39b LCEN peut être appliquée, si la production d'énergie solaire correspond</t>
  </si>
  <si>
    <t>au moins à la moitié du besoin normalisé.</t>
  </si>
  <si>
    <t>Wenn der Gesamtjahresertrag (Zeile P31) mindestens dem halben Normbedarf (Zeile P28) entspricht und der Neubau</t>
  </si>
  <si>
    <t>Si la production annuelle totale (P31) est au moins égale à la moitié du besoin normalisé (P28) et si le bâtiment</t>
  </si>
  <si>
    <t>remplit les conditions pour l'obligation allégée, cette feuille sert d'annexe pour le justificatif EN-Solaire BE.</t>
  </si>
  <si>
    <t>die Bedingungen für die erleichterte Solarpflicht erfüllt, dient dieses Blatt als Beilage zum Nachweis EN-Solar BE.</t>
  </si>
  <si>
    <t>Production correspond au moins à la moitié du besoin normalisé?</t>
  </si>
  <si>
    <r>
      <t xml:space="preserve"> (Q</t>
    </r>
    <r>
      <rPr>
        <b/>
        <vertAlign val="subscript"/>
        <sz val="10"/>
        <rFont val="Arial"/>
        <family val="2"/>
      </rPr>
      <t>h,eff</t>
    </r>
    <r>
      <rPr>
        <b/>
        <sz val="10"/>
        <rFont val="Arial"/>
        <family val="2"/>
      </rPr>
      <t xml:space="preserve"> + Q</t>
    </r>
    <r>
      <rPr>
        <b/>
        <vertAlign val="subscript"/>
        <sz val="10"/>
        <rFont val="Arial"/>
        <family val="2"/>
      </rPr>
      <t>w</t>
    </r>
    <r>
      <rPr>
        <b/>
        <sz val="10"/>
        <rFont val="Arial"/>
        <family val="2"/>
      </rPr>
      <t xml:space="preserve"> + E</t>
    </r>
    <r>
      <rPr>
        <b/>
        <vertAlign val="subscript"/>
        <sz val="10"/>
        <rFont val="Arial"/>
        <family val="2"/>
      </rPr>
      <t>wohnen</t>
    </r>
    <r>
      <rPr>
        <b/>
        <sz val="10"/>
        <rFont val="Arial"/>
        <family val="2"/>
      </rPr>
      <t xml:space="preserve">)/ 2  </t>
    </r>
  </si>
  <si>
    <t>Blatt "Solar_BE":  Ergänzung Zeile P26</t>
  </si>
  <si>
    <t>Blatt "Solar_BE":  Übersetzungen anpassen / Zeile 37 unten anfügen (zusätzlicher Text)</t>
  </si>
  <si>
    <t>Blatt "Solar_BE":  Anpassung K44</t>
  </si>
  <si>
    <t>Blatt "Solar_BE": und Blatt "Uebersetzung"</t>
  </si>
  <si>
    <t>Blatt "Solar_BE":  Anpassung B38-K55</t>
  </si>
  <si>
    <t>Blatt "Solar_BE": B31 - K31, Zeile ergänzt</t>
  </si>
  <si>
    <t>Neues Blatt "Solar_BE": erstellt.</t>
  </si>
  <si>
    <t>Blatt "Uebersetzung":  D726-D727, D728-D732, D746-D747, D733-D734</t>
  </si>
  <si>
    <t>Text durch Kt. Bern angepasst (deutsch und französisch)</t>
  </si>
  <si>
    <t>MK</t>
  </si>
  <si>
    <t>Blatt "Solar_BE":  G2 + J23 gelöscht. Wert Zeile 31 verschoben.</t>
  </si>
  <si>
    <t>MK / AH</t>
  </si>
  <si>
    <t>Durch Kt. Bern angepasst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</si>
</sst>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2">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
      <b/>
      <sz val="9"/>
      <color indexed="81"/>
      <name val="Segoe UI"/>
      <charset val="1"/>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78">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10" fillId="25" borderId="29" xfId="0" applyFont="1" applyFill="1" applyBorder="1" applyAlignment="1" applyProtection="1">
      <alignment vertical="center"/>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3" fillId="0" borderId="0" xfId="0" applyFont="1" applyFill="1" applyBorder="1" applyAlignment="1">
      <alignment horizontal="center"/>
    </xf>
    <xf numFmtId="0" fontId="3" fillId="0" borderId="0" xfId="0" applyFont="1" applyFill="1" applyBorder="1" applyAlignment="1">
      <alignment horizontal="center"/>
    </xf>
    <xf numFmtId="0" fontId="0" fillId="36" borderId="0" xfId="0" applyFill="1" applyAlignment="1" applyProtection="1">
      <alignment horizontal="center"/>
    </xf>
    <xf numFmtId="167" fontId="0" fillId="36" borderId="0" xfId="0" applyNumberFormat="1" applyFill="1" applyAlignment="1" applyProtection="1">
      <alignment horizontal="center"/>
    </xf>
    <xf numFmtId="3" fontId="0" fillId="36" borderId="0" xfId="0" applyNumberFormat="1" applyFill="1" applyAlignment="1" applyProtection="1">
      <alignment horizontal="center"/>
    </xf>
    <xf numFmtId="0" fontId="3" fillId="25" borderId="0" xfId="0" applyFont="1" applyFill="1" applyAlignment="1" applyProtection="1">
      <alignment horizontal="center"/>
    </xf>
    <xf numFmtId="1" fontId="3" fillId="25" borderId="0" xfId="0" applyNumberFormat="1" applyFont="1" applyFill="1" applyAlignment="1" applyProtection="1">
      <alignment horizontal="center"/>
    </xf>
    <xf numFmtId="0" fontId="3" fillId="36" borderId="0" xfId="0" applyFont="1" applyFill="1" applyAlignment="1" applyProtection="1">
      <alignment horizontal="right"/>
    </xf>
    <xf numFmtId="0" fontId="3" fillId="36" borderId="0" xfId="0" applyFont="1" applyFill="1" applyAlignment="1" applyProtection="1">
      <alignment horizontal="center"/>
    </xf>
    <xf numFmtId="0" fontId="10" fillId="25" borderId="60" xfId="0" applyFont="1" applyFill="1" applyBorder="1" applyAlignment="1" applyProtection="1">
      <alignment vertical="center"/>
    </xf>
    <xf numFmtId="0" fontId="10" fillId="25" borderId="31" xfId="0" applyFont="1" applyFill="1" applyBorder="1" applyAlignment="1" applyProtection="1">
      <alignment horizontal="center" vertical="center"/>
    </xf>
    <xf numFmtId="0" fontId="3" fillId="25" borderId="31" xfId="0" applyFont="1" applyFill="1" applyBorder="1" applyAlignment="1" applyProtection="1">
      <alignment horizontal="center" vertical="center"/>
    </xf>
    <xf numFmtId="0" fontId="94" fillId="36" borderId="0" xfId="0" applyFont="1" applyFill="1" applyAlignment="1" applyProtection="1">
      <alignment vertical="center"/>
    </xf>
    <xf numFmtId="0" fontId="11" fillId="25" borderId="0" xfId="0" applyFont="1" applyFill="1" applyAlignment="1" applyProtection="1">
      <alignment vertical="center"/>
    </xf>
    <xf numFmtId="2" fontId="11" fillId="40" borderId="19" xfId="0" applyNumberFormat="1" applyFont="1" applyFill="1" applyBorder="1" applyAlignment="1" applyProtection="1">
      <alignment horizontal="center" vertical="center"/>
    </xf>
    <xf numFmtId="0" fontId="6" fillId="25" borderId="40" xfId="0" applyFont="1" applyFill="1" applyBorder="1" applyAlignment="1" applyProtection="1">
      <alignment horizontal="center" vertical="center"/>
    </xf>
    <xf numFmtId="0" fontId="3" fillId="0" borderId="0" xfId="0" applyFont="1" applyFill="1" applyBorder="1" applyAlignment="1">
      <alignment horizontal="center"/>
    </xf>
    <xf numFmtId="0" fontId="10" fillId="36" borderId="0" xfId="0" applyFont="1" applyFill="1" applyAlignment="1" applyProtection="1">
      <alignment horizontal="center"/>
    </xf>
    <xf numFmtId="0" fontId="10" fillId="37" borderId="13" xfId="0" applyFont="1" applyFill="1" applyBorder="1" applyAlignment="1" applyProtection="1">
      <alignment wrapText="1"/>
      <protection locked="0"/>
    </xf>
    <xf numFmtId="0" fontId="10" fillId="32" borderId="13" xfId="0" applyFont="1" applyFill="1" applyBorder="1" applyAlignment="1" applyProtection="1">
      <alignment wrapText="1"/>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9" xfId="0" applyFont="1" applyFill="1" applyBorder="1" applyAlignment="1" applyProtection="1">
      <alignment horizontal="left" vertical="center"/>
    </xf>
    <xf numFmtId="0" fontId="3" fillId="0" borderId="0" xfId="0" applyFont="1" applyFill="1" applyBorder="1" applyAlignment="1">
      <alignment horizontal="center"/>
    </xf>
    <xf numFmtId="0" fontId="10" fillId="25" borderId="78" xfId="0" applyFont="1" applyFill="1" applyBorder="1" applyAlignment="1" applyProtection="1">
      <alignment horizontal="left" vertical="center"/>
    </xf>
    <xf numFmtId="0" fontId="10" fillId="25" borderId="53" xfId="0" applyFont="1" applyFill="1" applyBorder="1" applyAlignment="1" applyProtection="1">
      <alignment horizontal="left" vertical="center"/>
    </xf>
    <xf numFmtId="0" fontId="10" fillId="25" borderId="86" xfId="0" applyFont="1" applyFill="1" applyBorder="1" applyAlignment="1" applyProtection="1">
      <alignment horizontal="left" vertical="center"/>
    </xf>
    <xf numFmtId="0" fontId="10" fillId="25" borderId="158" xfId="0" applyFont="1" applyFill="1" applyBorder="1" applyAlignment="1" applyProtection="1">
      <alignment horizontal="left" vertical="center"/>
    </xf>
    <xf numFmtId="0" fontId="10" fillId="25" borderId="95"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1" fillId="25" borderId="71" xfId="0" applyFont="1" applyFill="1" applyBorder="1" applyAlignment="1" applyProtection="1">
      <alignment horizontal="left" vertical="center"/>
    </xf>
    <xf numFmtId="0" fontId="11" fillId="25" borderId="31" xfId="0" applyFont="1" applyFill="1" applyBorder="1" applyAlignment="1" applyProtection="1">
      <alignment horizontal="left" vertical="center"/>
    </xf>
    <xf numFmtId="0" fontId="2" fillId="25" borderId="31" xfId="0" applyFont="1" applyFill="1" applyBorder="1" applyAlignment="1" applyProtection="1">
      <alignment horizontal="right" vertical="center"/>
    </xf>
    <xf numFmtId="0" fontId="11" fillId="25" borderId="46" xfId="0" applyFont="1" applyFill="1" applyBorder="1" applyAlignment="1" applyProtection="1">
      <alignment horizontal="left" vertical="center"/>
    </xf>
    <xf numFmtId="0" fontId="11" fillId="25" borderId="31" xfId="0" applyFont="1" applyFill="1" applyBorder="1" applyAlignment="1" applyProtection="1">
      <alignment horizontal="center" vertic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2" fillId="25" borderId="0" xfId="0" applyNumberFormat="1" applyFont="1" applyFill="1" applyBorder="1" applyAlignment="1" applyProtection="1">
      <alignment horizontal="center" vertical="center"/>
    </xf>
    <xf numFmtId="167" fontId="2" fillId="25" borderId="40" xfId="0" applyNumberFormat="1" applyFont="1" applyFill="1" applyBorder="1" applyAlignment="1" applyProtection="1">
      <alignment horizontal="center" vertical="center"/>
    </xf>
    <xf numFmtId="167" fontId="2" fillId="25" borderId="46" xfId="0" applyNumberFormat="1" applyFont="1" applyFill="1" applyBorder="1" applyAlignment="1" applyProtection="1">
      <alignment horizontal="center" vertical="center"/>
    </xf>
    <xf numFmtId="0" fontId="2" fillId="25" borderId="40" xfId="0" applyFont="1" applyFill="1" applyBorder="1" applyAlignment="1" applyProtection="1">
      <alignment vertical="center"/>
    </xf>
    <xf numFmtId="0" fontId="2" fillId="25" borderId="32" xfId="0" applyFont="1" applyFill="1" applyBorder="1" applyAlignment="1" applyProtection="1">
      <alignment vertical="center"/>
    </xf>
    <xf numFmtId="0" fontId="2" fillId="40" borderId="57" xfId="0" applyFont="1" applyFill="1" applyBorder="1" applyAlignment="1" applyProtection="1">
      <alignment horizontal="center" vertical="center"/>
    </xf>
    <xf numFmtId="0" fontId="2" fillId="40" borderId="87" xfId="0" applyFont="1" applyFill="1" applyBorder="1" applyAlignment="1" applyProtection="1">
      <alignment horizontal="center" vertical="center"/>
    </xf>
    <xf numFmtId="0" fontId="3" fillId="25" borderId="40" xfId="0" applyFont="1" applyFill="1" applyBorder="1" applyAlignment="1" applyProtection="1">
      <alignment vertical="center"/>
    </xf>
    <xf numFmtId="0" fontId="3" fillId="25" borderId="32" xfId="0" applyFont="1" applyFill="1" applyBorder="1" applyAlignment="1" applyProtection="1">
      <alignment vertical="center"/>
    </xf>
    <xf numFmtId="0" fontId="11" fillId="25" borderId="40" xfId="0" applyFont="1" applyFill="1" applyBorder="1" applyProtection="1"/>
    <xf numFmtId="0" fontId="11" fillId="25" borderId="32" xfId="0" applyFont="1" applyFill="1" applyBorder="1" applyProtection="1"/>
    <xf numFmtId="167" fontId="10" fillId="25" borderId="57" xfId="0" applyNumberFormat="1" applyFont="1" applyFill="1" applyBorder="1" applyAlignment="1" applyProtection="1">
      <alignment horizontal="center" vertical="center"/>
    </xf>
    <xf numFmtId="3" fontId="2" fillId="25" borderId="13" xfId="0" applyNumberFormat="1" applyFont="1" applyFill="1" applyBorder="1" applyAlignment="1" applyProtection="1">
      <alignment horizontal="center" vertical="center"/>
    </xf>
    <xf numFmtId="3" fontId="3" fillId="25" borderId="13" xfId="0" applyNumberFormat="1" applyFont="1" applyFill="1" applyBorder="1" applyAlignment="1" applyProtection="1">
      <alignment horizontal="center" vertical="center"/>
    </xf>
    <xf numFmtId="167" fontId="3" fillId="25" borderId="13" xfId="0" applyNumberFormat="1" applyFont="1" applyFill="1" applyBorder="1" applyAlignment="1" applyProtection="1">
      <alignment horizontal="center" vertical="center"/>
    </xf>
    <xf numFmtId="0" fontId="11" fillId="25" borderId="63" xfId="0" applyFont="1" applyFill="1" applyBorder="1" applyAlignment="1" applyProtection="1">
      <alignment horizontal="center" vertical="center"/>
    </xf>
    <xf numFmtId="0" fontId="11" fillId="25" borderId="37" xfId="0" applyFont="1" applyFill="1" applyBorder="1" applyAlignment="1" applyProtection="1">
      <alignment horizontal="center" vertical="center"/>
    </xf>
    <xf numFmtId="0" fontId="11" fillId="25" borderId="58" xfId="0" applyFont="1" applyFill="1" applyBorder="1" applyAlignment="1" applyProtection="1">
      <alignment horizontal="center" vertical="center"/>
    </xf>
    <xf numFmtId="2" fontId="2" fillId="25" borderId="40" xfId="0" applyNumberFormat="1" applyFont="1" applyFill="1" applyBorder="1" applyAlignment="1" applyProtection="1">
      <alignment horizontal="center" vertical="center"/>
    </xf>
    <xf numFmtId="2" fontId="2" fillId="25" borderId="32" xfId="0" applyNumberFormat="1" applyFont="1" applyFill="1" applyBorder="1" applyAlignment="1" applyProtection="1">
      <alignment horizontal="center" vertical="center"/>
    </xf>
    <xf numFmtId="0" fontId="10" fillId="25" borderId="19" xfId="0" applyFont="1" applyFill="1" applyBorder="1" applyAlignment="1" applyProtection="1">
      <alignment horizontal="left" vertical="center"/>
    </xf>
    <xf numFmtId="0" fontId="16" fillId="25" borderId="17" xfId="0" applyFont="1" applyFill="1" applyBorder="1" applyAlignment="1" applyProtection="1">
      <alignment horizontal="center" vertical="center"/>
    </xf>
    <xf numFmtId="0" fontId="16" fillId="25" borderId="18" xfId="0" applyFont="1" applyFill="1" applyBorder="1" applyAlignment="1" applyProtection="1">
      <alignment horizontal="center" vertical="center"/>
    </xf>
    <xf numFmtId="0" fontId="16" fillId="25" borderId="19" xfId="0" applyFont="1" applyFill="1" applyBorder="1" applyAlignment="1" applyProtection="1">
      <alignment horizontal="center" vertical="center"/>
    </xf>
    <xf numFmtId="0" fontId="10" fillId="36" borderId="28" xfId="0" applyFont="1" applyFill="1" applyBorder="1" applyAlignment="1" applyProtection="1">
      <alignment horizontal="left" vertical="center"/>
    </xf>
    <xf numFmtId="0" fontId="10" fillId="36" borderId="0" xfId="0" applyFont="1" applyFill="1" applyBorder="1" applyAlignment="1" applyProtection="1">
      <alignment horizontal="left" vertical="center"/>
    </xf>
    <xf numFmtId="0" fontId="10" fillId="36" borderId="29" xfId="0" applyFont="1" applyFill="1" applyBorder="1" applyAlignment="1" applyProtection="1">
      <alignment horizontal="left" vertical="center"/>
    </xf>
    <xf numFmtId="3" fontId="10" fillId="25" borderId="67" xfId="0" applyNumberFormat="1" applyFont="1" applyFill="1" applyBorder="1" applyAlignment="1" applyProtection="1">
      <alignment horizontal="center" vertical="center"/>
    </xf>
    <xf numFmtId="3" fontId="10" fillId="25" borderId="6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489">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ont>
        <color theme="0"/>
      </font>
      <fill>
        <patternFill>
          <bgColor theme="0"/>
        </patternFill>
      </fill>
      <border>
        <left/>
        <right/>
        <bottom/>
        <vertical/>
        <horizontal/>
      </border>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ont>
        <b/>
        <i val="0"/>
        <color rgb="FFC00000"/>
      </font>
      <fill>
        <patternFill>
          <bgColor theme="5" tint="0.59996337778862885"/>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dxf>
    <dxf>
      <font>
        <color theme="0"/>
      </font>
      <fill>
        <patternFill>
          <bgColor theme="0"/>
        </patternFill>
      </fill>
    </dxf>
    <dxf>
      <font>
        <color theme="0"/>
      </font>
    </dxf>
    <dxf>
      <font>
        <b/>
        <i val="0"/>
        <color rgb="FFC00000"/>
      </font>
      <fill>
        <patternFill>
          <bgColor theme="5" tint="0.59996337778862885"/>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dxf>
    <dxf>
      <font>
        <color auto="1"/>
      </font>
      <fill>
        <patternFill>
          <fgColor theme="0"/>
          <bgColor theme="0"/>
        </patternFill>
      </fill>
    </dxf>
    <dxf>
      <font>
        <color auto="1"/>
      </font>
      <fill>
        <patternFill>
          <fgColor theme="0"/>
          <b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99"/>
        </patternFill>
      </fill>
      <border>
        <left/>
        <right style="thin">
          <color auto="1"/>
        </right>
        <top/>
        <bottom style="hair">
          <color auto="1"/>
        </bottom>
      </border>
    </dxf>
    <dxf>
      <font>
        <color auto="1"/>
      </font>
      <fill>
        <patternFill>
          <bgColor rgb="FFFFFF00"/>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00"/>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00"/>
        </patternFill>
      </fill>
      <border>
        <left/>
        <right style="thin">
          <color auto="1"/>
        </right>
        <top style="thin">
          <color auto="1"/>
        </top>
        <bottom style="hair">
          <color auto="1"/>
        </bottom>
      </border>
    </dxf>
    <dxf>
      <font>
        <color theme="0"/>
      </font>
      <fill>
        <patternFill>
          <bgColor theme="0"/>
        </patternFill>
      </fill>
    </dxf>
    <dxf>
      <font>
        <color theme="0"/>
      </font>
      <fill>
        <patternFill>
          <bgColor theme="0"/>
        </patternFill>
      </fill>
    </dxf>
    <dxf>
      <border>
        <top/>
        <vertical/>
        <horizontal/>
      </border>
    </dxf>
    <dxf>
      <font>
        <color theme="0"/>
      </font>
      <fill>
        <patternFill>
          <bgColor theme="0"/>
        </patternFill>
      </fill>
      <border>
        <left/>
        <right/>
        <bottom/>
        <vertical/>
        <horizontal/>
      </border>
    </dxf>
    <dxf>
      <border>
        <vertical/>
        <horizontal/>
      </border>
    </dxf>
    <dxf>
      <border>
        <top style="thin">
          <color auto="1"/>
        </top>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border>
        <left/>
        <right/>
        <vertical/>
        <horizontal/>
      </border>
    </dxf>
    <dxf>
      <font>
        <color theme="0"/>
      </font>
    </dxf>
    <dxf>
      <font>
        <color theme="0"/>
      </font>
    </dxf>
    <dxf>
      <font>
        <color theme="0"/>
      </font>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rgb="FF9C0006"/>
      </font>
      <fill>
        <patternFill>
          <bgColor rgb="FFFFC7CE"/>
        </patternFill>
      </fill>
    </dxf>
    <dxf>
      <font>
        <color auto="1"/>
      </font>
      <fill>
        <patternFill>
          <bgColor rgb="FFCCFF99"/>
        </patternFill>
      </fill>
    </dxf>
    <dxf>
      <fill>
        <patternFill>
          <fgColor indexed="9"/>
          <bgColor indexed="9"/>
        </patternFill>
      </fill>
    </dxf>
    <dxf>
      <font>
        <color rgb="FF9C0006"/>
      </font>
      <fill>
        <patternFill>
          <bgColor rgb="FFFFC7CE"/>
        </patternFill>
      </fill>
    </dxf>
    <dxf>
      <font>
        <color auto="1"/>
      </font>
      <fill>
        <patternFill>
          <bgColor rgb="FFCCFF99"/>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lor theme="0"/>
      </font>
      <fill>
        <patternFill>
          <bgColor theme="0"/>
        </patternFill>
      </fill>
      <border>
        <right style="thin">
          <color auto="1"/>
        </right>
        <bottom style="hair">
          <color auto="1"/>
        </bottom>
        <vertical/>
        <horizontal/>
      </border>
    </dxf>
    <dxf>
      <fill>
        <patternFill>
          <bgColor theme="0"/>
        </patternFill>
      </fill>
      <border>
        <left/>
        <right style="thin">
          <color auto="1"/>
        </right>
        <top style="thin">
          <color auto="1"/>
        </top>
        <bottom style="hair">
          <color auto="1"/>
        </bottom>
        <vertical/>
        <horizontal/>
      </border>
    </dxf>
    <dxf>
      <font>
        <condense val="0"/>
        <extend val="0"/>
        <color auto="1"/>
      </font>
    </dxf>
    <dxf>
      <font>
        <color theme="0"/>
      </font>
    </dxf>
    <dxf>
      <font>
        <condense val="0"/>
        <extend val="0"/>
        <color indexed="9"/>
      </font>
    </dxf>
    <dxf>
      <border>
        <bottom style="thin">
          <color auto="1"/>
        </bottom>
        <vertical/>
        <horizontal/>
      </border>
    </dxf>
    <dxf>
      <font>
        <condense val="0"/>
        <extend val="0"/>
        <color indexed="9"/>
      </font>
    </dxf>
    <dxf>
      <fill>
        <patternFill>
          <bgColor rgb="FFFFFF99"/>
        </patternFill>
      </fill>
      <border>
        <right style="thin">
          <color auto="1"/>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fill>
        <patternFill>
          <bgColor indexed="13"/>
        </patternFill>
      </fill>
    </dxf>
    <dxf>
      <font>
        <color theme="0"/>
      </font>
      <fill>
        <patternFill>
          <bgColor theme="0"/>
        </patternFill>
      </fill>
      <border>
        <bottom style="hair">
          <color auto="1"/>
        </bottom>
      </border>
    </dxf>
    <dxf>
      <font>
        <color theme="0"/>
      </font>
      <fill>
        <patternFill>
          <bgColor theme="0"/>
        </patternFill>
      </fill>
      <border>
        <left/>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border>
        <bottom style="thin">
          <color theme="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vertical/>
        <horizontal/>
      </border>
    </dxf>
    <dxf>
      <font>
        <color theme="0"/>
      </font>
      <fill>
        <patternFill>
          <bgColor theme="0"/>
        </patternFill>
      </fill>
    </dxf>
    <dxf>
      <fill>
        <patternFill>
          <fgColor indexed="9"/>
          <bgColor indexed="9"/>
        </patternFill>
      </fill>
    </dxf>
    <dxf>
      <fill>
        <patternFill>
          <bgColor rgb="FFFFFF00"/>
        </patternFill>
      </fill>
    </dxf>
    <dxf>
      <fill>
        <patternFill>
          <bgColor indexed="43"/>
        </patternFill>
      </fill>
    </dxf>
    <dxf>
      <fill>
        <patternFill>
          <bgColor indexed="34"/>
        </patternFill>
      </fill>
    </dxf>
    <dxf>
      <font>
        <b val="0"/>
        <i val="0"/>
        <condense val="0"/>
        <extend val="0"/>
      </font>
      <fill>
        <patternFill patternType="solid">
          <bgColor indexed="43"/>
        </patternFill>
      </fill>
    </dxf>
    <dxf>
      <border>
        <left style="hair">
          <color auto="1"/>
        </left>
        <right style="hair">
          <color auto="1"/>
        </right>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border>
        <left/>
        <right/>
        <top/>
        <bottom style="hair">
          <color auto="1"/>
        </bottom>
        <vertical/>
        <horizontal/>
      </border>
    </dxf>
    <dxf>
      <fill>
        <patternFill>
          <fgColor theme="0"/>
          <bgColor theme="0"/>
        </patternFill>
      </fill>
      <border>
        <top style="thin">
          <color auto="1"/>
        </top>
        <bottom style="hair">
          <color auto="1"/>
        </bottom>
        <vertical/>
        <horizontal/>
      </border>
    </dxf>
    <dxf>
      <fill>
        <patternFill>
          <bgColor rgb="FFFFFF00"/>
        </patternFill>
      </fill>
    </dxf>
    <dxf>
      <fill>
        <patternFill>
          <bgColor indexed="43"/>
        </patternFill>
      </fill>
    </dxf>
    <dxf>
      <fill>
        <patternFill>
          <bgColor indexed="13"/>
        </patternFill>
      </fill>
    </dxf>
    <dxf>
      <font>
        <b val="0"/>
        <i val="0"/>
        <condense val="0"/>
        <extend val="0"/>
      </font>
      <fill>
        <patternFill patternType="solid">
          <bgColor indexed="43"/>
        </patternFill>
      </fill>
    </dxf>
    <dxf>
      <border>
        <left style="hair">
          <color auto="1"/>
        </left>
        <top style="hair">
          <color auto="1"/>
        </top>
        <bottom style="thin">
          <color auto="1"/>
        </bottom>
        <vertical/>
        <horizontal/>
      </border>
    </dxf>
    <dxf>
      <font>
        <b val="0"/>
        <i/>
      </font>
      <border>
        <left/>
        <right/>
        <top style="thin">
          <color auto="1"/>
        </top>
        <bottom/>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ill>
        <patternFill>
          <bgColor rgb="FFFFC000"/>
        </patternFill>
      </fill>
    </dxf>
    <dxf>
      <font>
        <color theme="0"/>
      </font>
      <fill>
        <patternFill>
          <bgColor theme="0"/>
        </patternFill>
      </fill>
    </dxf>
    <dxf>
      <font>
        <color theme="1"/>
      </font>
      <border>
        <bottom style="hair">
          <color auto="1"/>
        </bottom>
        <vertical/>
        <horizontal/>
      </border>
    </dxf>
    <dxf>
      <border>
        <top style="thin">
          <color auto="1"/>
        </top>
        <vertical/>
        <horizontal/>
      </border>
    </dxf>
    <dxf>
      <fill>
        <patternFill>
          <bgColor theme="0"/>
        </patternFill>
      </fill>
      <border>
        <bottom style="hair">
          <color auto="1"/>
        </bottom>
      </border>
    </dxf>
    <dxf>
      <fill>
        <patternFill>
          <bgColor theme="0"/>
        </patternFill>
      </fill>
    </dxf>
    <dxf>
      <font>
        <color theme="0"/>
      </font>
      <fill>
        <patternFill>
          <bgColor theme="0"/>
        </patternFill>
      </fill>
    </dxf>
    <dxf>
      <border>
        <right/>
        <top/>
        <bottom/>
        <vertical/>
        <horizontal/>
      </border>
    </dxf>
    <dxf>
      <font>
        <color theme="0"/>
      </font>
      <fill>
        <patternFill>
          <bgColor theme="0"/>
        </patternFill>
      </fill>
      <border>
        <left/>
        <right/>
        <vertical/>
        <horizontal/>
      </border>
    </dxf>
    <dxf>
      <border>
        <left style="thin">
          <color auto="1"/>
        </left>
        <right style="hair">
          <color auto="1"/>
        </right>
        <top style="hair">
          <color auto="1"/>
        </top>
        <bottom style="hair">
          <color auto="1"/>
        </bottom>
        <vertical/>
        <horizontal/>
      </border>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border>
        <bottom style="thin">
          <color theme="1"/>
        </bottom>
        <vertical/>
        <horizontal/>
      </border>
    </dxf>
    <dxf>
      <font>
        <b val="0"/>
        <i val="0"/>
        <condense val="0"/>
        <extend val="0"/>
        <color auto="1"/>
      </font>
      <fill>
        <patternFill patternType="solid">
          <bgColor rgb="FFFFFF00"/>
        </patternFill>
      </fill>
    </dxf>
    <dxf>
      <fill>
        <patternFill patternType="solid">
          <fgColor indexed="9"/>
          <bgColor indexed="43"/>
        </patternFill>
      </fill>
    </dxf>
    <dxf>
      <fill>
        <patternFill>
          <bgColor indexed="13"/>
        </patternFill>
      </fill>
    </dxf>
    <dxf>
      <font>
        <b val="0"/>
        <i val="0"/>
        <condense val="0"/>
        <extend val="0"/>
        <color auto="1"/>
      </font>
      <fill>
        <patternFill patternType="solid">
          <bgColor indexed="43"/>
        </patternFill>
      </fill>
    </dxf>
    <dxf>
      <border>
        <left style="hair">
          <color auto="1"/>
        </left>
        <right style="hair">
          <color auto="1"/>
        </right>
        <top style="hair">
          <color auto="1"/>
        </top>
        <bottom style="thin">
          <color auto="1"/>
        </bottom>
        <vertical/>
        <horizontal/>
      </border>
    </dxf>
    <dxf>
      <border>
        <left style="thin">
          <color auto="1"/>
        </left>
        <right/>
        <top/>
        <bottom style="hair">
          <color auto="1"/>
        </bottom>
        <vertical/>
        <horizontal/>
      </border>
    </dxf>
    <dxf>
      <font>
        <color theme="0"/>
      </font>
    </dxf>
    <dxf>
      <font>
        <color theme="0"/>
      </font>
      <fill>
        <patternFill>
          <fgColor theme="0"/>
          <bgColor theme="0"/>
        </patternFill>
      </fill>
      <border>
        <top style="thin">
          <color auto="1"/>
        </top>
        <bottom style="hair">
          <color auto="1"/>
        </bottom>
      </border>
    </dxf>
    <dxf>
      <border>
        <bottom style="hair">
          <color auto="1"/>
        </bottom>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border>
        <right style="thin">
          <color auto="1"/>
        </right>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ill>
        <patternFill>
          <bgColor indexed="9"/>
        </patternFill>
      </fill>
    </dxf>
    <dxf>
      <font>
        <condense val="0"/>
        <extend val="0"/>
        <color indexed="9"/>
      </font>
    </dxf>
    <dxf>
      <font>
        <b val="0"/>
        <i val="0"/>
        <condense val="0"/>
        <extend val="0"/>
      </font>
      <fill>
        <patternFill patternType="solid">
          <bgColor indexed="43"/>
        </patternFill>
      </fill>
    </dxf>
    <dxf>
      <font>
        <b/>
        <i val="0"/>
        <condense val="0"/>
        <extend val="0"/>
        <color indexed="10"/>
      </font>
    </dxf>
    <dxf>
      <fill>
        <patternFill>
          <bgColor indexed="9"/>
        </patternFill>
      </fill>
    </dxf>
    <dxf>
      <font>
        <b/>
        <i val="0"/>
        <condense val="0"/>
        <extend val="0"/>
        <color indexed="10"/>
      </font>
    </dxf>
    <dxf>
      <fill>
        <patternFill>
          <bgColor indexed="9"/>
        </patternFill>
      </fill>
    </dxf>
    <dxf>
      <fill>
        <patternFill>
          <bgColor indexed="9"/>
        </patternFill>
      </fill>
    </dxf>
    <dxf>
      <fill>
        <patternFill>
          <bgColor indexed="13"/>
        </patternFill>
      </fill>
    </dxf>
    <dxf>
      <font>
        <color theme="1"/>
      </font>
    </dxf>
    <dxf>
      <font>
        <color theme="0"/>
      </font>
      <border>
        <right style="thin">
          <color auto="1"/>
        </right>
      </border>
    </dxf>
    <dxf>
      <border>
        <bottom style="thin">
          <color theme="1"/>
        </bottom>
        <vertical/>
        <horizontal/>
      </border>
    </dxf>
    <dxf>
      <border>
        <left/>
        <right/>
        <top/>
        <bottom style="hair">
          <color auto="1"/>
        </bottom>
        <vertical/>
        <horizontal/>
      </border>
    </dxf>
    <dxf>
      <font>
        <color theme="0"/>
      </font>
      <fill>
        <patternFill>
          <bgColor theme="0"/>
        </patternFill>
      </fill>
    </dxf>
    <dxf>
      <border>
        <right style="thin">
          <color auto="1"/>
        </right>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rgb="FFFFFF00"/>
        </patternFill>
      </fill>
    </dxf>
    <dxf>
      <font>
        <color theme="1"/>
      </font>
      <fill>
        <patternFill>
          <bgColor indexed="13"/>
        </patternFill>
      </fill>
    </dxf>
    <dxf>
      <font>
        <color auto="1"/>
      </font>
      <fill>
        <patternFill>
          <bgColor rgb="FFFFFF99"/>
        </patternFill>
      </fill>
    </dxf>
    <dxf>
      <font>
        <color theme="0"/>
      </font>
      <fill>
        <patternFill>
          <bgColor theme="0"/>
        </patternFill>
      </fill>
    </dxf>
    <dxf>
      <font>
        <color auto="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C000"/>
        </patternFill>
      </fill>
    </dxf>
    <dxf>
      <border>
        <left style="hair">
          <color auto="1"/>
        </left>
        <right style="hair">
          <color auto="1"/>
        </right>
        <top style="hair">
          <color auto="1"/>
        </top>
        <bottom style="thin">
          <color auto="1"/>
        </bottom>
        <vertical/>
        <horizontal/>
      </border>
    </dxf>
    <dxf>
      <border>
        <left/>
        <right/>
        <top/>
        <bottom/>
        <vertical/>
        <horizontal/>
      </border>
    </dxf>
    <dxf>
      <font>
        <color theme="0"/>
      </font>
      <fill>
        <patternFill>
          <fgColor theme="0"/>
          <bgColor theme="0"/>
        </patternFill>
      </fill>
      <border>
        <left/>
        <right/>
        <top style="thin">
          <color auto="1"/>
        </top>
        <bottom style="hair">
          <color auto="1"/>
        </bottom>
        <vertical/>
        <horizontal/>
      </border>
    </dxf>
    <dxf>
      <fill>
        <patternFill>
          <bgColor rgb="FFFFC000"/>
        </patternFill>
      </fill>
    </dxf>
    <dxf>
      <font>
        <color theme="0"/>
      </font>
      <fill>
        <patternFill>
          <bgColor theme="0"/>
        </patternFill>
      </fill>
      <border>
        <left/>
        <right/>
        <top/>
        <bottom/>
        <vertical/>
        <horizontal/>
      </border>
    </dxf>
    <dxf>
      <border>
        <right/>
        <vertical/>
        <horizontal/>
      </border>
    </dxf>
    <dxf>
      <fill>
        <patternFill>
          <fgColor theme="0"/>
          <bgColor theme="0"/>
        </patternFill>
      </fill>
      <border>
        <left/>
        <right/>
        <top style="thin">
          <color auto="1"/>
        </top>
        <bottom style="hair">
          <color auto="1"/>
        </bottom>
        <vertical/>
        <horizontal/>
      </border>
    </dxf>
    <dxf>
      <font>
        <color theme="0"/>
      </font>
    </dxf>
    <dxf>
      <font>
        <color theme="0"/>
      </font>
      <fill>
        <patternFill>
          <bgColor theme="0"/>
        </patternFill>
      </fill>
      <border>
        <left/>
        <right/>
        <top/>
        <bottom/>
        <vertical/>
        <horizontal/>
      </border>
    </dxf>
    <dxf>
      <border>
        <bottom style="hair">
          <color auto="1"/>
        </bottom>
        <vertical/>
        <horizontal/>
      </border>
    </dxf>
    <dxf>
      <fill>
        <patternFill>
          <bgColor theme="0"/>
        </patternFill>
      </fill>
    </dxf>
    <dxf>
      <border>
        <bottom/>
        <vertical/>
        <horizontal/>
      </border>
    </dxf>
    <dxf>
      <border>
        <bottom style="thin">
          <color auto="1"/>
        </bottom>
        <vertical/>
        <horizontal/>
      </border>
    </dxf>
    <dxf>
      <font>
        <color theme="0"/>
      </font>
      <fill>
        <patternFill>
          <bgColor theme="0"/>
        </patternFill>
      </fill>
      <border>
        <left/>
        <right/>
        <bottom/>
        <vertical/>
        <horizontal/>
      </border>
    </dxf>
    <dxf>
      <font>
        <color theme="0"/>
      </font>
      <fill>
        <patternFill>
          <bgColor theme="0"/>
        </patternFill>
      </fill>
      <border>
        <bottom style="thin">
          <color auto="1"/>
        </bottom>
        <vertical/>
        <horizontal/>
      </border>
    </dxf>
    <dxf>
      <border>
        <left style="thin">
          <color auto="1"/>
        </left>
        <right style="thin">
          <color auto="1"/>
        </right>
        <top/>
        <bottom/>
        <vertical/>
        <horizontal/>
      </border>
    </dxf>
    <dxf>
      <border>
        <left/>
        <right/>
        <top/>
        <vertical/>
        <horizontal/>
      </border>
    </dxf>
    <dxf>
      <border>
        <top style="thin">
          <color auto="1"/>
        </top>
        <bottom style="thin">
          <color auto="1"/>
        </bottom>
        <vertical/>
        <horizontal/>
      </border>
    </dxf>
    <dxf>
      <border>
        <left style="thin">
          <color auto="1"/>
        </left>
        <vertical/>
        <horizontal/>
      </border>
    </dxf>
    <dxf>
      <font>
        <color theme="0"/>
      </font>
      <fill>
        <patternFill>
          <fgColor theme="0"/>
          <bgColor theme="0"/>
        </patternFill>
      </fill>
      <border>
        <left/>
        <right/>
        <top style="thin">
          <color auto="1"/>
        </top>
        <bottom style="hair">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1"/>
      </font>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style="thin">
          <color auto="1"/>
        </top>
        <bottom/>
        <vertical/>
        <horizontal/>
      </border>
    </dxf>
    <dxf>
      <font>
        <color theme="0"/>
      </font>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dxf>
    <dxf>
      <font>
        <color theme="0"/>
      </font>
      <border>
        <left/>
        <right/>
        <top style="thin">
          <color auto="1"/>
        </top>
        <bottom/>
        <vertical/>
        <horizontal/>
      </border>
    </dxf>
    <dxf>
      <border>
        <left style="hair">
          <color auto="1"/>
        </left>
        <top style="hair">
          <color auto="1"/>
        </top>
        <bottom style="hair">
          <color auto="1"/>
        </bottom>
        <vertical/>
        <horizontal/>
      </border>
    </dxf>
    <dxf>
      <border>
        <bottom style="thin">
          <color auto="1"/>
        </bottom>
        <vertical/>
        <horizontal/>
      </border>
    </dxf>
    <dxf>
      <font>
        <color theme="0"/>
      </font>
      <fill>
        <patternFill>
          <bgColor theme="0"/>
        </patternFill>
      </fill>
    </dxf>
    <dxf>
      <font>
        <color theme="0"/>
      </font>
    </dxf>
    <dxf>
      <font>
        <color auto="1"/>
      </font>
    </dxf>
    <dxf>
      <font>
        <color theme="0"/>
      </font>
    </dxf>
    <dxf>
      <border>
        <left style="thin">
          <color auto="1"/>
        </left>
        <bottom style="thin">
          <color auto="1"/>
        </bottom>
        <vertical/>
        <horizontal/>
      </border>
    </dxf>
    <dxf>
      <font>
        <color theme="1"/>
      </font>
    </dxf>
    <dxf>
      <font>
        <b/>
        <i/>
      </font>
      <border>
        <left style="thin">
          <color auto="1"/>
        </left>
        <vertical/>
        <horizontal/>
      </border>
    </dxf>
    <dxf>
      <border>
        <left style="thin">
          <color auto="1"/>
        </left>
        <top style="thin">
          <color auto="1"/>
        </top>
        <bottom style="thin">
          <color auto="1"/>
        </bottom>
        <vertical/>
        <horizontal/>
      </border>
    </dxf>
    <dxf>
      <border>
        <left style="thin">
          <color auto="1"/>
        </left>
        <vertical/>
        <horizontal/>
      </border>
    </dxf>
    <dxf>
      <border>
        <left style="thin">
          <color auto="1"/>
        </left>
        <bottom style="hair">
          <color auto="1"/>
        </bottom>
        <vertical/>
        <horizontal/>
      </border>
    </dxf>
    <dxf>
      <font>
        <b/>
        <i val="0"/>
      </font>
    </dxf>
    <dxf>
      <border>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99"/>
      <color rgb="FFFFCCCC"/>
      <color rgb="FF99FF99"/>
      <color rgb="FFFFFF99"/>
      <color rgb="FF0000FF"/>
      <color rgb="FFEEFFDD"/>
      <color rgb="FFCCFFCC"/>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3.png"/><Relationship Id="rId4"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3.png"/><Relationship Id="rId4" Type="http://schemas.openxmlformats.org/officeDocument/2006/relationships/image" Target="../media/image2.png"/></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9155-4317-8974-EB0FA66CDC60}"/>
              </c:ext>
            </c:extLst>
          </c:dPt>
          <c:val>
            <c:numRef>
              <c:f>Eingaben!$C$3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9155-4317-8974-EB0FA66CDC60}"/>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9155-4317-8974-EB0FA66CDC60}"/>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155-4317-8974-EB0FA66CDC60}"/>
            </c:ext>
          </c:extLst>
        </c:ser>
        <c:dLbls>
          <c:showLegendKey val="0"/>
          <c:showVal val="0"/>
          <c:showCatName val="0"/>
          <c:showSerName val="0"/>
          <c:showPercent val="0"/>
          <c:showBubbleSize val="0"/>
        </c:dLbls>
        <c:gapWidth val="0"/>
        <c:overlap val="100"/>
        <c:axId val="381949840"/>
        <c:axId val="135272368"/>
      </c:barChart>
      <c:catAx>
        <c:axId val="381949840"/>
        <c:scaling>
          <c:orientation val="minMax"/>
        </c:scaling>
        <c:delete val="1"/>
        <c:axPos val="b"/>
        <c:numFmt formatCode="General" sourceLinked="1"/>
        <c:majorTickMark val="none"/>
        <c:minorTickMark val="none"/>
        <c:tickLblPos val="nextTo"/>
        <c:crossAx val="135272368"/>
        <c:crosses val="autoZero"/>
        <c:auto val="1"/>
        <c:lblAlgn val="ctr"/>
        <c:lblOffset val="100"/>
        <c:noMultiLvlLbl val="0"/>
      </c:catAx>
      <c:valAx>
        <c:axId val="135272368"/>
        <c:scaling>
          <c:orientation val="minMax"/>
        </c:scaling>
        <c:delete val="1"/>
        <c:axPos val="l"/>
        <c:numFmt formatCode="0%" sourceLinked="1"/>
        <c:majorTickMark val="none"/>
        <c:minorTickMark val="none"/>
        <c:tickLblPos val="nextTo"/>
        <c:crossAx val="38194984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87234448"/>
        <c:axId val="387235232"/>
      </c:barChart>
      <c:catAx>
        <c:axId val="38723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7235232"/>
        <c:crosses val="autoZero"/>
        <c:auto val="1"/>
        <c:lblAlgn val="ctr"/>
        <c:lblOffset val="100"/>
        <c:noMultiLvlLbl val="0"/>
      </c:catAx>
      <c:valAx>
        <c:axId val="38723523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7234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47B9-46F7-8E90-8FDDF9A8D903}"/>
              </c:ext>
            </c:extLst>
          </c:dPt>
          <c:val>
            <c:numRef>
              <c:f>Eingaben!$C$3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7B9-46F7-8E90-8FDDF9A8D903}"/>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47B9-46F7-8E90-8FDDF9A8D903}"/>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7B9-46F7-8E90-8FDDF9A8D903}"/>
            </c:ext>
          </c:extLst>
        </c:ser>
        <c:dLbls>
          <c:showLegendKey val="0"/>
          <c:showVal val="0"/>
          <c:showCatName val="0"/>
          <c:showSerName val="0"/>
          <c:showPercent val="0"/>
          <c:showBubbleSize val="0"/>
        </c:dLbls>
        <c:gapWidth val="0"/>
        <c:overlap val="100"/>
        <c:axId val="385330104"/>
        <c:axId val="383400264"/>
      </c:barChart>
      <c:catAx>
        <c:axId val="385330104"/>
        <c:scaling>
          <c:orientation val="minMax"/>
        </c:scaling>
        <c:delete val="1"/>
        <c:axPos val="b"/>
        <c:numFmt formatCode="General" sourceLinked="1"/>
        <c:majorTickMark val="none"/>
        <c:minorTickMark val="none"/>
        <c:tickLblPos val="nextTo"/>
        <c:crossAx val="383400264"/>
        <c:crosses val="autoZero"/>
        <c:auto val="1"/>
        <c:lblAlgn val="ctr"/>
        <c:lblOffset val="100"/>
        <c:noMultiLvlLbl val="0"/>
      </c:catAx>
      <c:valAx>
        <c:axId val="383400264"/>
        <c:scaling>
          <c:orientation val="minMax"/>
        </c:scaling>
        <c:delete val="1"/>
        <c:axPos val="l"/>
        <c:numFmt formatCode="0%" sourceLinked="1"/>
        <c:majorTickMark val="none"/>
        <c:minorTickMark val="none"/>
        <c:tickLblPos val="nextTo"/>
        <c:crossAx val="38533010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0E67-4A8D-A1D1-E510EDCC3A05}"/>
            </c:ext>
          </c:extLst>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extLst xmlns:c16r2="http://schemas.microsoft.com/office/drawing/2015/06/chart">
              <c:ext xmlns:c16="http://schemas.microsoft.com/office/drawing/2014/chart" uri="{C3380CC4-5D6E-409C-BE32-E72D297353CC}">
                <c16:uniqueId val="{00000002-0E67-4A8D-A1D1-E510EDCC3A05}"/>
              </c:ext>
            </c:extLst>
          </c:dPt>
          <c:val>
            <c:numRef>
              <c:f>Eingaben!$C$3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0E67-4A8D-A1D1-E510EDCC3A05}"/>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0E67-4A8D-A1D1-E510EDCC3A05}"/>
            </c:ext>
          </c:extLst>
        </c:ser>
        <c:dLbls>
          <c:showLegendKey val="0"/>
          <c:showVal val="0"/>
          <c:showCatName val="0"/>
          <c:showSerName val="0"/>
          <c:showPercent val="0"/>
          <c:showBubbleSize val="0"/>
        </c:dLbls>
        <c:gapWidth val="0"/>
        <c:overlap val="100"/>
        <c:axId val="384780272"/>
        <c:axId val="383399792"/>
      </c:barChart>
      <c:catAx>
        <c:axId val="384780272"/>
        <c:scaling>
          <c:orientation val="minMax"/>
        </c:scaling>
        <c:delete val="1"/>
        <c:axPos val="b"/>
        <c:numFmt formatCode="General" sourceLinked="1"/>
        <c:majorTickMark val="none"/>
        <c:minorTickMark val="none"/>
        <c:tickLblPos val="nextTo"/>
        <c:crossAx val="383399792"/>
        <c:crosses val="autoZero"/>
        <c:auto val="1"/>
        <c:lblAlgn val="ctr"/>
        <c:lblOffset val="100"/>
        <c:noMultiLvlLbl val="0"/>
      </c:catAx>
      <c:valAx>
        <c:axId val="383399792"/>
        <c:scaling>
          <c:orientation val="minMax"/>
        </c:scaling>
        <c:delete val="1"/>
        <c:axPos val="l"/>
        <c:numFmt formatCode="0%" sourceLinked="1"/>
        <c:majorTickMark val="none"/>
        <c:minorTickMark val="none"/>
        <c:tickLblPos val="nextTo"/>
        <c:crossAx val="3847802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0-3070-4910-94DB-AAC2F143583E}"/>
            </c:ext>
          </c:extLst>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extLst xmlns:c16r2="http://schemas.microsoft.com/office/drawing/2015/06/chart">
            <c:ext xmlns:c16="http://schemas.microsoft.com/office/drawing/2014/chart" uri="{C3380CC4-5D6E-409C-BE32-E72D297353CC}">
              <c16:uniqueId val="{00000001-3070-4910-94DB-AAC2F143583E}"/>
            </c:ext>
          </c:extLst>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2-3070-4910-94DB-AAC2F143583E}"/>
            </c:ext>
          </c:extLst>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3-3070-4910-94DB-AAC2F143583E}"/>
            </c:ext>
          </c:extLst>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4-3070-4910-94DB-AAC2F143583E}"/>
            </c:ext>
          </c:extLst>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5-3070-4910-94DB-AAC2F143583E}"/>
            </c:ext>
          </c:extLst>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6-3070-4910-94DB-AAC2F143583E}"/>
            </c:ext>
          </c:extLst>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7-3070-4910-94DB-AAC2F143583E}"/>
            </c:ext>
          </c:extLst>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8-3070-4910-94DB-AAC2F143583E}"/>
            </c:ext>
          </c:extLst>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9-3070-4910-94DB-AAC2F143583E}"/>
            </c:ext>
          </c:extLst>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A-3070-4910-94DB-AAC2F143583E}"/>
            </c:ext>
          </c:extLst>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B-3070-4910-94DB-AAC2F143583E}"/>
            </c:ext>
          </c:extLst>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C-3070-4910-94DB-AAC2F143583E}"/>
            </c:ext>
          </c:extLst>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D-3070-4910-94DB-AAC2F143583E}"/>
            </c:ext>
          </c:extLst>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E-3070-4910-94DB-AAC2F143583E}"/>
            </c:ext>
          </c:extLst>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F-3070-4910-94DB-AAC2F143583E}"/>
            </c:ext>
          </c:extLst>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0-3070-4910-94DB-AAC2F143583E}"/>
            </c:ext>
          </c:extLst>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1-3070-4910-94DB-AAC2F143583E}"/>
            </c:ext>
          </c:extLst>
        </c:ser>
        <c:dLbls>
          <c:showLegendKey val="0"/>
          <c:showVal val="0"/>
          <c:showCatName val="0"/>
          <c:showSerName val="0"/>
          <c:showPercent val="0"/>
          <c:showBubbleSize val="0"/>
        </c:dLbls>
        <c:gapWidth val="80"/>
        <c:overlap val="100"/>
        <c:axId val="136531424"/>
        <c:axId val="136528288"/>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xmlns:c16r2="http://schemas.microsoft.com/office/drawing/2015/06/chart">
              <c:ext xmlns:c16="http://schemas.microsoft.com/office/drawing/2014/chart" uri="{C3380CC4-5D6E-409C-BE32-E72D297353CC}">
                <c16:uniqueId val="{00000013-3070-4910-94DB-AAC2F143583E}"/>
              </c:ext>
            </c:extLst>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4-3070-4910-94DB-AAC2F143583E}"/>
            </c:ext>
          </c:extLst>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5-3070-4910-94DB-AAC2F143583E}"/>
            </c:ext>
          </c:extLst>
        </c:ser>
        <c:dLbls>
          <c:showLegendKey val="0"/>
          <c:showVal val="0"/>
          <c:showCatName val="0"/>
          <c:showSerName val="0"/>
          <c:showPercent val="0"/>
          <c:showBubbleSize val="0"/>
        </c:dLbls>
        <c:axId val="136531424"/>
        <c:axId val="136528288"/>
      </c:scatterChart>
      <c:catAx>
        <c:axId val="136531424"/>
        <c:scaling>
          <c:orientation val="minMax"/>
        </c:scaling>
        <c:delete val="1"/>
        <c:axPos val="b"/>
        <c:numFmt formatCode="General" sourceLinked="1"/>
        <c:majorTickMark val="none"/>
        <c:minorTickMark val="none"/>
        <c:tickLblPos val="nextTo"/>
        <c:crossAx val="136528288"/>
        <c:crosses val="autoZero"/>
        <c:auto val="1"/>
        <c:lblAlgn val="ctr"/>
        <c:lblOffset val="100"/>
        <c:noMultiLvlLbl val="0"/>
      </c:catAx>
      <c:valAx>
        <c:axId val="13652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531424"/>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4379-4342-8806-05ED07C59124}"/>
              </c:ext>
            </c:extLst>
          </c:dPt>
          <c:val>
            <c:numRef>
              <c:f>Eingaben!$C$3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379-4342-8806-05ED07C59124}"/>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4379-4342-8806-05ED07C59124}"/>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379-4342-8806-05ED07C59124}"/>
            </c:ext>
          </c:extLst>
        </c:ser>
        <c:dLbls>
          <c:showLegendKey val="0"/>
          <c:showVal val="0"/>
          <c:showCatName val="0"/>
          <c:showSerName val="0"/>
          <c:showPercent val="0"/>
          <c:showBubbleSize val="0"/>
        </c:dLbls>
        <c:gapWidth val="0"/>
        <c:overlap val="100"/>
        <c:axId val="387238368"/>
        <c:axId val="387237584"/>
      </c:barChart>
      <c:catAx>
        <c:axId val="387238368"/>
        <c:scaling>
          <c:orientation val="minMax"/>
        </c:scaling>
        <c:delete val="1"/>
        <c:axPos val="b"/>
        <c:numFmt formatCode="General" sourceLinked="1"/>
        <c:majorTickMark val="none"/>
        <c:minorTickMark val="none"/>
        <c:tickLblPos val="nextTo"/>
        <c:crossAx val="387237584"/>
        <c:crosses val="autoZero"/>
        <c:auto val="1"/>
        <c:lblAlgn val="ctr"/>
        <c:lblOffset val="100"/>
        <c:noMultiLvlLbl val="0"/>
      </c:catAx>
      <c:valAx>
        <c:axId val="387237584"/>
        <c:scaling>
          <c:orientation val="minMax"/>
        </c:scaling>
        <c:delete val="1"/>
        <c:axPos val="l"/>
        <c:numFmt formatCode="0%" sourceLinked="1"/>
        <c:majorTickMark val="none"/>
        <c:minorTickMark val="none"/>
        <c:tickLblPos val="nextTo"/>
        <c:crossAx val="38723836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0-A1B2-486E-82B3-4C2B8B792E21}"/>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extLst xmlns:c16r2="http://schemas.microsoft.com/office/drawing/2015/06/chart">
            <c:ext xmlns:c16="http://schemas.microsoft.com/office/drawing/2014/chart" uri="{C3380CC4-5D6E-409C-BE32-E72D297353CC}">
              <c16:uniqueId val="{00000001-A1B2-486E-82B3-4C2B8B792E21}"/>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2-A1B2-486E-82B3-4C2B8B792E21}"/>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3-A1B2-486E-82B3-4C2B8B792E21}"/>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4-A1B2-486E-82B3-4C2B8B792E21}"/>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5-A1B2-486E-82B3-4C2B8B792E21}"/>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6-A1B2-486E-82B3-4C2B8B792E21}"/>
            </c:ext>
          </c:extLst>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7-A1B2-486E-82B3-4C2B8B792E21}"/>
            </c:ext>
          </c:extLst>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8-A1B2-486E-82B3-4C2B8B792E21}"/>
            </c:ext>
          </c:extLst>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9-A1B2-486E-82B3-4C2B8B792E21}"/>
            </c:ext>
          </c:extLst>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A-A1B2-486E-82B3-4C2B8B792E21}"/>
            </c:ext>
          </c:extLst>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B-A1B2-486E-82B3-4C2B8B792E21}"/>
            </c:ext>
          </c:extLst>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C-A1B2-486E-82B3-4C2B8B792E21}"/>
            </c:ext>
          </c:extLst>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D-A1B2-486E-82B3-4C2B8B792E21}"/>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E-A1B2-486E-82B3-4C2B8B792E21}"/>
            </c:ext>
          </c:extLst>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F-A1B2-486E-82B3-4C2B8B792E21}"/>
            </c:ext>
          </c:extLst>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0-A1B2-486E-82B3-4C2B8B792E21}"/>
            </c:ext>
          </c:extLst>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1-A1B2-486E-82B3-4C2B8B792E21}"/>
            </c:ext>
          </c:extLst>
        </c:ser>
        <c:dLbls>
          <c:showLegendKey val="0"/>
          <c:showVal val="0"/>
          <c:showCatName val="0"/>
          <c:showSerName val="0"/>
          <c:showPercent val="0"/>
          <c:showBubbleSize val="0"/>
        </c:dLbls>
        <c:gapWidth val="80"/>
        <c:overlap val="100"/>
        <c:axId val="387235624"/>
        <c:axId val="387232880"/>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xmlns:c16r2="http://schemas.microsoft.com/office/drawing/2015/06/chart">
              <c:ext xmlns:c16="http://schemas.microsoft.com/office/drawing/2014/chart" uri="{C3380CC4-5D6E-409C-BE32-E72D297353CC}">
                <c16:uniqueId val="{00000013-A1B2-486E-82B3-4C2B8B792E21}"/>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4-A1B2-486E-82B3-4C2B8B792E21}"/>
            </c:ext>
          </c:extLst>
        </c:ser>
        <c:ser>
          <c:idx val="11"/>
          <c:order val="8"/>
          <c:tx>
            <c:strRef>
              <c:f>Uebersicht_BE!$M$65</c:f>
              <c:strCache>
                <c:ptCount val="1"/>
                <c:pt idx="0">
                  <c:v>MKZ berechneter Wert</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5-A1B2-486E-82B3-4C2B8B792E21}"/>
            </c:ext>
          </c:extLst>
        </c:ser>
        <c:dLbls>
          <c:showLegendKey val="0"/>
          <c:showVal val="0"/>
          <c:showCatName val="0"/>
          <c:showSerName val="0"/>
          <c:showPercent val="0"/>
          <c:showBubbleSize val="0"/>
        </c:dLbls>
        <c:axId val="387235624"/>
        <c:axId val="387232880"/>
      </c:scatterChart>
      <c:catAx>
        <c:axId val="387235624"/>
        <c:scaling>
          <c:orientation val="minMax"/>
        </c:scaling>
        <c:delete val="1"/>
        <c:axPos val="b"/>
        <c:numFmt formatCode="General" sourceLinked="1"/>
        <c:majorTickMark val="none"/>
        <c:minorTickMark val="none"/>
        <c:tickLblPos val="nextTo"/>
        <c:crossAx val="387232880"/>
        <c:crosses val="autoZero"/>
        <c:auto val="1"/>
        <c:lblAlgn val="ctr"/>
        <c:lblOffset val="100"/>
        <c:noMultiLvlLbl val="0"/>
      </c:catAx>
      <c:valAx>
        <c:axId val="38723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235624"/>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B3B6-4171-B185-556418DA4ED2}"/>
              </c:ext>
            </c:extLst>
          </c:dPt>
          <c:val>
            <c:numRef>
              <c:f>Eingaben!$C$3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B3B6-4171-B185-556418DA4ED2}"/>
            </c:ext>
          </c:extLst>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B3B6-4171-B185-556418DA4ED2}"/>
            </c:ext>
          </c:extLst>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B3B6-4171-B185-556418DA4ED2}"/>
            </c:ext>
          </c:extLst>
        </c:ser>
        <c:dLbls>
          <c:showLegendKey val="0"/>
          <c:showVal val="0"/>
          <c:showCatName val="0"/>
          <c:showSerName val="0"/>
          <c:showPercent val="0"/>
          <c:showBubbleSize val="0"/>
        </c:dLbls>
        <c:gapWidth val="0"/>
        <c:overlap val="100"/>
        <c:axId val="387237192"/>
        <c:axId val="387237976"/>
      </c:barChart>
      <c:catAx>
        <c:axId val="387237192"/>
        <c:scaling>
          <c:orientation val="minMax"/>
        </c:scaling>
        <c:delete val="1"/>
        <c:axPos val="b"/>
        <c:numFmt formatCode="General" sourceLinked="1"/>
        <c:majorTickMark val="none"/>
        <c:minorTickMark val="none"/>
        <c:tickLblPos val="nextTo"/>
        <c:crossAx val="387237976"/>
        <c:crosses val="autoZero"/>
        <c:auto val="1"/>
        <c:lblAlgn val="ctr"/>
        <c:lblOffset val="100"/>
        <c:noMultiLvlLbl val="0"/>
      </c:catAx>
      <c:valAx>
        <c:axId val="387237976"/>
        <c:scaling>
          <c:orientation val="minMax"/>
        </c:scaling>
        <c:delete val="1"/>
        <c:axPos val="l"/>
        <c:numFmt formatCode="0%" sourceLinked="1"/>
        <c:majorTickMark val="none"/>
        <c:minorTickMark val="none"/>
        <c:tickLblPos val="nextTo"/>
        <c:crossAx val="3872371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7239936"/>
        <c:axId val="387240328"/>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7239936"/>
        <c:axId val="387240328"/>
      </c:scatterChart>
      <c:catAx>
        <c:axId val="3872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7240328"/>
        <c:crosses val="autoZero"/>
        <c:auto val="1"/>
        <c:lblAlgn val="ctr"/>
        <c:lblOffset val="100"/>
        <c:noMultiLvlLbl val="0"/>
      </c:catAx>
      <c:valAx>
        <c:axId val="387240328"/>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7239936"/>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7233664"/>
        <c:axId val="387234056"/>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7233664"/>
        <c:axId val="387234056"/>
      </c:scatterChart>
      <c:catAx>
        <c:axId val="38723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7234056"/>
        <c:crosses val="autoZero"/>
        <c:auto val="1"/>
        <c:lblAlgn val="ctr"/>
        <c:lblOffset val="100"/>
        <c:noMultiLvlLbl val="0"/>
      </c:catAx>
      <c:valAx>
        <c:axId val="387234056"/>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723366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 xmlns:a16="http://schemas.microsoft.com/office/drawing/2014/main" id="{00000000-0008-0000-08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xdr:row>
      <xdr:rowOff>114300</xdr:rowOff>
    </xdr:from>
    <xdr:to>
      <xdr:col>3</xdr:col>
      <xdr:colOff>504825</xdr:colOff>
      <xdr:row>3</xdr:row>
      <xdr:rowOff>123825</xdr:rowOff>
    </xdr:to>
    <xdr:graphicFrame macro="">
      <xdr:nvGraphicFramePr>
        <xdr:cNvPr id="5" name="Diagramm 4">
          <a:extLst>
            <a:ext uri="{FF2B5EF4-FFF2-40B4-BE49-F238E27FC236}">
              <a16:creationId xmlns=""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 xmlns:a16="http://schemas.microsoft.com/office/drawing/2014/main" id="{00000000-0008-0000-07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 xmlns:a16="http://schemas.microsoft.com/office/drawing/2014/main" id="{00000000-0008-0000-07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v2.97</v>
      </c>
      <c r="C1" s="3"/>
      <c r="D1" s="3"/>
      <c r="E1" s="340"/>
      <c r="F1" s="3"/>
      <c r="G1" s="3"/>
      <c r="H1" s="3"/>
      <c r="I1" s="158"/>
      <c r="J1" s="3"/>
      <c r="K1" s="7" t="str">
        <f>Uebersetzung!D5</f>
        <v>Formular EN101b, v2.97, zu verwenden bis 31. Dezember 2026</v>
      </c>
    </row>
    <row r="2" spans="1:20" ht="17.100000000000001" customHeight="1">
      <c r="B2" s="36"/>
      <c r="C2" s="820"/>
      <c r="D2" s="115"/>
      <c r="E2" s="36"/>
      <c r="F2" s="115"/>
      <c r="G2" s="2641" t="str">
        <f>Uebersetzung!D6</f>
        <v>Energienachweis</v>
      </c>
      <c r="H2" s="2642"/>
      <c r="I2" s="2642"/>
      <c r="J2" s="2642"/>
      <c r="K2" s="2643"/>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644" t="str">
        <f>IF(bern,"EN-101 BE","EN-101b")</f>
        <v>EN-101b</v>
      </c>
      <c r="F3" s="2645"/>
      <c r="G3" s="2646" t="str">
        <f>Uebersetzung!D7</f>
        <v>Energiebedarf</v>
      </c>
      <c r="H3" s="2647"/>
      <c r="I3" s="2647"/>
      <c r="J3" s="2647"/>
      <c r="K3" s="2648"/>
    </row>
    <row r="4" spans="1:20" ht="17.100000000000001" customHeight="1">
      <c r="B4" s="94"/>
      <c r="C4" s="60"/>
      <c r="D4" s="116"/>
      <c r="E4" s="94"/>
      <c r="F4" s="116"/>
      <c r="G4" s="2649" t="str">
        <f>IF(MUKEN,Uebersetzung!D8,)</f>
        <v>Rechnerische Lösung</v>
      </c>
      <c r="H4" s="2650"/>
      <c r="I4" s="2650"/>
      <c r="J4" s="2650"/>
      <c r="K4" s="2651"/>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 xml:space="preserve">Gemeinde:             </v>
      </c>
      <c r="C7" s="2658"/>
      <c r="D7" s="2658"/>
      <c r="E7" s="2658"/>
      <c r="F7" s="2658"/>
      <c r="G7" s="864" t="str">
        <f>Uebersetzung!D10</f>
        <v xml:space="preserve">Parz.-Nr.:  </v>
      </c>
      <c r="H7" s="966"/>
      <c r="I7" s="864" t="str">
        <f>IF(OR(MUKEN,bern),Uebersetzung!D11,Uebersetzung!D358)</f>
        <v xml:space="preserve">Geb.-Nr.:  </v>
      </c>
      <c r="J7" s="2654"/>
      <c r="K7" s="2655"/>
      <c r="N7" s="2450"/>
      <c r="O7" s="2450"/>
      <c r="P7" s="2450"/>
      <c r="Q7" s="2450"/>
      <c r="R7" s="2450"/>
      <c r="S7" s="2450"/>
      <c r="T7" s="2450"/>
    </row>
    <row r="8" spans="1:20" ht="20.100000000000001" customHeight="1">
      <c r="A8" s="1518" t="s">
        <v>385</v>
      </c>
      <c r="B8" s="778" t="str">
        <f>IF(MUKEN,Uebersetzung!D13,Uebersetzung!D359)</f>
        <v xml:space="preserve">Bauvorhaben:            </v>
      </c>
      <c r="C8" s="2659"/>
      <c r="D8" s="2659"/>
      <c r="E8" s="2659"/>
      <c r="F8" s="2659"/>
      <c r="G8" s="2659"/>
      <c r="H8" s="2659"/>
      <c r="I8" s="1013" t="str">
        <f>Uebersetzung!D117</f>
        <v xml:space="preserve">EGID:  </v>
      </c>
      <c r="J8" s="2656"/>
      <c r="K8" s="2657"/>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64"/>
      <c r="F13" s="2664"/>
      <c r="G13" s="12" t="str">
        <f>Uebersetzung!D16</f>
        <v>m.ü.M.</v>
      </c>
      <c r="H13" s="776" t="str">
        <f>Uebersetzung!D12</f>
        <v>Kanton:</v>
      </c>
      <c r="I13" s="2660"/>
      <c r="J13" s="2660"/>
      <c r="K13" s="2661"/>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62" t="s">
        <v>826</v>
      </c>
      <c r="F14" s="2662"/>
      <c r="G14" s="2662"/>
      <c r="H14" s="15" t="str">
        <f>Uebersetzung!D28</f>
        <v>Klimastation:</v>
      </c>
      <c r="I14" s="2662" t="s">
        <v>199</v>
      </c>
      <c r="J14" s="2662"/>
      <c r="K14" s="2663"/>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632" t="str">
        <f>Uebersetzung!D31</f>
        <v>Gebäudekategorie</v>
      </c>
      <c r="C16" s="2633"/>
      <c r="D16" s="2652"/>
      <c r="E16" s="2653"/>
      <c r="F16" s="1294" t="s">
        <v>199</v>
      </c>
      <c r="G16" s="1294"/>
      <c r="H16" s="1294"/>
      <c r="I16" s="1294"/>
      <c r="J16" s="196"/>
      <c r="K16" s="197" t="str">
        <f>Uebersetzung!D35</f>
        <v>(Mittel)</v>
      </c>
      <c r="N16" s="2450"/>
      <c r="O16" s="2450"/>
      <c r="P16" s="2450"/>
      <c r="Q16" s="2450"/>
      <c r="R16" s="2450"/>
      <c r="S16" s="2450"/>
      <c r="T16" s="2450"/>
    </row>
    <row r="17" spans="1:21" ht="20.100000000000001" customHeight="1">
      <c r="A17" s="1518" t="s">
        <v>391</v>
      </c>
      <c r="B17" s="2634" t="str">
        <f>Uebersetzung!D32</f>
        <v>Mit Warmwasser ?</v>
      </c>
      <c r="C17" s="2635"/>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634" t="str">
        <f>Uebersetzung!D33</f>
        <v>Energiebezugsfläche EBF</v>
      </c>
      <c r="C19" s="2635"/>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customHeight="1">
      <c r="A20" s="1518" t="s">
        <v>5246</v>
      </c>
      <c r="B20" s="2634" t="str">
        <f>Uebersetzung!D745</f>
        <v>Solarpflicht: Anrechenbare Gebäudefläche</v>
      </c>
      <c r="C20" s="2635"/>
      <c r="D20" s="194"/>
      <c r="E20" s="194" t="s">
        <v>321</v>
      </c>
      <c r="F20" s="249"/>
      <c r="G20" s="249"/>
      <c r="H20" s="249"/>
      <c r="I20" s="249"/>
      <c r="J20" s="2583"/>
      <c r="K20" s="187">
        <f>IF(EBF_wohnen_neu1&gt;0,F20,0)+IF(EBF_wohnen_neu2&gt;0,G20,0)+IF(EBF_wohnen_neu3&gt;0,H20,0)+IF(EBF_wohnen_neu4&gt;0,I20,0)</f>
        <v>0</v>
      </c>
      <c r="N20" s="2450"/>
      <c r="O20" s="2450"/>
      <c r="P20" s="2450"/>
      <c r="Q20" s="2450"/>
      <c r="R20" s="2450"/>
      <c r="S20" s="2450"/>
      <c r="T20" s="2450"/>
    </row>
    <row r="21" spans="1:21" ht="20.100000000000001" customHeight="1">
      <c r="A21" s="1518" t="s">
        <v>394</v>
      </c>
      <c r="B21" s="2634" t="str">
        <f>Uebersetzung!D36</f>
        <v>Neubau</v>
      </c>
      <c r="C21" s="2635"/>
      <c r="D21" s="194"/>
      <c r="E21" s="199"/>
      <c r="F21" s="833" t="s">
        <v>199</v>
      </c>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67" t="str">
        <f>IF(bern,Uebersetzung!D410,Uebersetzung!D357)</f>
        <v>Gebäudehüllzahl</v>
      </c>
      <c r="C23" s="2668"/>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69" t="str">
        <f>IF(bern,Uebersetzung!D407,Uebersetzung!D37)</f>
        <v>Heizwärmebedarf mit Standardluftwechsel</v>
      </c>
      <c r="C24" s="2670"/>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71" t="str">
        <f>Uebersetzung!D38</f>
        <v>Lüftung-Klima-Kälteanlagen</v>
      </c>
      <c r="C27" s="2672"/>
      <c r="D27" s="2672"/>
      <c r="E27" s="2672"/>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73" t="str">
        <f>Uebersetzung!D40</f>
        <v xml:space="preserve">Angaben bei Standard-Lüftungsanlagen </v>
      </c>
      <c r="C29" s="2674"/>
      <c r="D29" s="2674"/>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632" t="str">
        <f>Uebersetzung!D48</f>
        <v>Kleinanlagen mit Standardwerten</v>
      </c>
      <c r="C30" s="2633"/>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634" t="str">
        <f>Uebersetzung!D41</f>
        <v>Standard-Lüftungsanlagentyp</v>
      </c>
      <c r="C31" s="2635"/>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65">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66"/>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634"/>
      <c r="C33" s="2635"/>
      <c r="D33" s="194"/>
      <c r="E33" s="194"/>
      <c r="F33" s="862"/>
      <c r="G33" s="862"/>
      <c r="H33" s="862"/>
      <c r="I33" s="862"/>
      <c r="J33" s="182"/>
      <c r="K33" s="187"/>
      <c r="N33" s="2450"/>
      <c r="O33" s="2450"/>
      <c r="P33" s="2450"/>
      <c r="Q33" s="2450"/>
      <c r="R33" s="2450"/>
      <c r="S33" s="2450"/>
      <c r="T33" s="2450"/>
    </row>
    <row r="34" spans="1:24" ht="21.95" customHeight="1">
      <c r="A34" s="1518" t="s">
        <v>401</v>
      </c>
      <c r="B34" s="2634" t="str">
        <f>Uebersetzung!D45</f>
        <v>Wärmerückgewinnungs-Wärmetauscher</v>
      </c>
      <c r="C34" s="2679"/>
      <c r="D34" s="2635"/>
      <c r="E34" s="194"/>
      <c r="F34" s="1835"/>
      <c r="G34" s="1835"/>
      <c r="H34" s="1835"/>
      <c r="I34" s="1835"/>
      <c r="J34" s="182"/>
      <c r="K34" s="223"/>
      <c r="N34" s="2454"/>
      <c r="O34" s="2450"/>
      <c r="P34" s="2450"/>
      <c r="Q34" s="2450"/>
      <c r="R34" s="2450"/>
      <c r="S34" s="2450"/>
      <c r="T34" s="2450"/>
    </row>
    <row r="35" spans="1:24" ht="20.100000000000001" customHeight="1">
      <c r="A35" s="1518" t="s">
        <v>402</v>
      </c>
      <c r="B35" s="2634" t="str">
        <f>Uebersetzung!D47</f>
        <v>Ventilatorantrieb mit</v>
      </c>
      <c r="C35" s="2635"/>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75" t="str">
        <f>Uebersetzung!D46</f>
        <v>Nenn-Luftvolumenstrom</v>
      </c>
      <c r="C37" s="2676"/>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2811</v>
      </c>
      <c r="B38" s="2677" t="str">
        <f>Uebersetzung!D53</f>
        <v>Externe Berechnung</v>
      </c>
      <c r="C38" s="2678"/>
      <c r="D38" s="918" t="str">
        <f>IF(OR(F27&lt;&gt;"",G27&lt;&gt;"",H27&lt;&gt;""),Uebersetzung!D116,"")</f>
        <v/>
      </c>
      <c r="E38" s="416"/>
      <c r="F38" s="416"/>
      <c r="G38" s="416"/>
      <c r="H38" s="416"/>
      <c r="I38" s="416"/>
      <c r="J38" s="416"/>
      <c r="K38" s="413"/>
      <c r="L38" s="155"/>
    </row>
    <row r="39" spans="1:24" ht="20.100000000000001" customHeight="1">
      <c r="A39" s="1518" t="s">
        <v>2812</v>
      </c>
      <c r="B39" s="2632" t="str">
        <f>Uebersetzung!D54</f>
        <v>Kühlung oder Befeuchtung vorhanden?</v>
      </c>
      <c r="C39" s="2633"/>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2813</v>
      </c>
      <c r="B40" s="2680" t="str">
        <f>Uebersetzung!D49</f>
        <v>Thermisch wirksame Aussenluftrate</v>
      </c>
      <c r="C40" s="2681"/>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2814</v>
      </c>
      <c r="B41" s="2683" t="str">
        <f>Uebersetzung!D50</f>
        <v>Strombedarf Lüftung + Vereisungsschutz</v>
      </c>
      <c r="C41" s="2684"/>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2815</v>
      </c>
      <c r="B42" s="2683" t="str">
        <f>Uebersetzung!D51</f>
        <v>Strombedarf Klima und Befeuchtung</v>
      </c>
      <c r="C42" s="2684"/>
      <c r="D42" s="203" t="s">
        <v>704</v>
      </c>
      <c r="E42" s="201" t="s">
        <v>672</v>
      </c>
      <c r="F42" s="420"/>
      <c r="G42" s="421"/>
      <c r="H42" s="421"/>
      <c r="I42" s="421"/>
      <c r="J42" s="415"/>
      <c r="K42" s="991">
        <f>F42+IF(Zonen&gt;1,G42,0)+IF(Zonen&gt;2,H42,0)+IF(Zonen&gt;3,I42,0)</f>
        <v>0</v>
      </c>
      <c r="M42" s="456"/>
    </row>
    <row r="43" spans="1:24" ht="24" customHeight="1">
      <c r="A43" s="1518" t="s">
        <v>2816</v>
      </c>
      <c r="B43" s="2628" t="str">
        <f>Uebersetzung!D56</f>
        <v>Strombedarf Kälteförderung + Hilfsenergie</v>
      </c>
      <c r="C43" s="2629"/>
      <c r="D43" s="203" t="s">
        <v>155</v>
      </c>
      <c r="E43" s="201" t="s">
        <v>672</v>
      </c>
      <c r="F43" s="420"/>
      <c r="G43" s="1339"/>
      <c r="H43" s="1339"/>
      <c r="I43" s="1339"/>
      <c r="J43" s="415"/>
      <c r="K43" s="991">
        <f>F43+IF(Zonen&gt;1,G43,0)+IF(Zonen&gt;2,H43,0)+IF(Zonen&gt;3,I43,0)</f>
        <v>0</v>
      </c>
      <c r="M43" s="456"/>
    </row>
    <row r="44" spans="1:24" ht="20.100000000000001" customHeight="1">
      <c r="A44" s="1518" t="s">
        <v>2818</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2817</v>
      </c>
      <c r="B45" s="2632" t="str">
        <f>Uebersetzung!D58</f>
        <v>Therm. wirksamer Aussenl.-Volumenstr.</v>
      </c>
      <c r="C45" s="2682"/>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628" t="str">
        <f>Uebersetzung!D60</f>
        <v>eff. Heizwärmebedarf mit Lüftungsanlage</v>
      </c>
      <c r="C46" s="2629"/>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46034.719198842591</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Unterschriften</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640"/>
      <c r="D49" s="2640"/>
      <c r="E49" s="2640"/>
      <c r="F49" s="2640"/>
      <c r="G49" s="2613"/>
      <c r="H49" s="2613"/>
      <c r="I49" s="2613"/>
      <c r="J49" s="2613"/>
      <c r="K49" s="2614"/>
      <c r="M49" s="609"/>
      <c r="N49" s="609"/>
      <c r="O49" s="609"/>
      <c r="P49" s="609"/>
    </row>
    <row r="50" spans="1:24" ht="20.100000000000001" customHeight="1">
      <c r="A50" s="1518" t="s">
        <v>5012</v>
      </c>
      <c r="B50" s="2430" t="str">
        <f>IF(MUKEN,Uebersetzung!D150,Uebersetzung!D463)</f>
        <v>Name und Adresse</v>
      </c>
      <c r="C50" s="2638"/>
      <c r="D50" s="2639"/>
      <c r="E50" s="2639"/>
      <c r="F50" s="2639"/>
      <c r="G50" s="2620"/>
      <c r="H50" s="2620"/>
      <c r="I50" s="2620"/>
      <c r="J50" s="2620"/>
      <c r="K50" s="2621"/>
      <c r="M50" s="456"/>
      <c r="O50" s="605"/>
    </row>
    <row r="51" spans="1:24" ht="20.100000000000001" customHeight="1">
      <c r="A51" s="1518" t="s">
        <v>5016</v>
      </c>
      <c r="B51" s="3" t="str">
        <f>IF(MUKEN,Uebersetzung!D151,Uebersetzung!D382)&amp;IF(bern,", [kW]",)</f>
        <v>bzw. Firmenstempel</v>
      </c>
      <c r="C51" s="2431"/>
      <c r="D51" s="2432"/>
      <c r="E51" s="2433"/>
      <c r="F51" s="2416"/>
      <c r="G51" s="2434"/>
      <c r="H51" s="2435"/>
      <c r="I51" s="2435"/>
      <c r="J51" s="2435"/>
      <c r="K51" s="2435"/>
      <c r="M51" s="456"/>
      <c r="O51" s="605"/>
    </row>
    <row r="52" spans="1:24" ht="20.100000000000001" customHeight="1">
      <c r="A52" s="1518" t="s">
        <v>5015</v>
      </c>
      <c r="B52" s="3">
        <f>IF(MUKEN,,Uebersetzung!D414)</f>
        <v>0</v>
      </c>
      <c r="C52" s="2417"/>
      <c r="D52" s="2418"/>
      <c r="E52" s="2411"/>
      <c r="F52" s="2419">
        <f>IF(MUKEN,,IF(bern,IF(EBF_neu&gt;0,F51*1000/EBF_neu,0),IF(EBF&gt;0,F51*1000/EBF,0)))</f>
        <v>0</v>
      </c>
      <c r="G52" s="2617" t="str">
        <f>IF(MUKEN,IF(bern,Uebersetzung!D704,""),Uebersetzung!D475)</f>
        <v/>
      </c>
      <c r="H52" s="2618"/>
      <c r="I52" s="2619"/>
      <c r="J52" s="2615"/>
      <c r="K52" s="2616"/>
      <c r="M52" s="456"/>
      <c r="O52" s="609"/>
    </row>
    <row r="53" spans="1:24" ht="20.100000000000001" customHeight="1">
      <c r="A53" s="1518" t="s">
        <v>5014</v>
      </c>
      <c r="B53" s="2420" t="str">
        <f>IF(MUKEN,"",Uebersetzung!D413)&amp;IF(bern,", [kWh/kW]","")</f>
        <v/>
      </c>
      <c r="C53" s="2421"/>
      <c r="D53" s="2421"/>
      <c r="E53" s="2415">
        <f>IF(MUKEN,,IF(OR(F53="",F53=0),800,F53))</f>
        <v>0</v>
      </c>
      <c r="F53" s="2414"/>
      <c r="G53" s="3">
        <f>IF(MUKEN,,Uebersetzung!D381)</f>
        <v>0</v>
      </c>
      <c r="H53" s="3"/>
      <c r="I53" s="2413">
        <f>MINERGIE!AI71</f>
        <v>0.2</v>
      </c>
      <c r="J53" s="2625"/>
      <c r="K53" s="2625"/>
      <c r="M53" s="456"/>
      <c r="O53" s="609"/>
    </row>
    <row r="54" spans="1:24" ht="20.100000000000001" customHeight="1">
      <c r="A54" s="1518" t="s">
        <v>5013</v>
      </c>
      <c r="B54" s="2441">
        <f>IF(MUKEN,,Uebersetzung!D452)</f>
        <v>0</v>
      </c>
      <c r="C54" s="2422"/>
      <c r="D54" s="2423"/>
      <c r="E54" s="2412"/>
      <c r="F54" s="2424">
        <f>IF(MUKEN,,IF(MINERGIE!Z73,"0",MIN(30,MAX(MINERGIE!Z67*0.01+Nachweis!Q24*EBF/E53,0))))</f>
        <v>0</v>
      </c>
      <c r="G54" s="2425"/>
      <c r="H54" s="1336">
        <f>IF(MUKEN,,IF(bern,Uebersetzung!D705,Uebersetzung!D386))</f>
        <v>0</v>
      </c>
      <c r="I54" s="2622" t="str">
        <f>IF(wkk,Uebersetzung!D21,IF(EBF=0,"",IF(F54="0",Uebersetzung!$D$25,IF(ROUND(F51,2)&gt;=ROUND(F54,2),Uebersetzung!$D$25,Uebersetzung!$D$26))))</f>
        <v/>
      </c>
      <c r="J54" s="2623"/>
      <c r="K54" s="2624"/>
      <c r="M54" s="456"/>
      <c r="O54" s="605"/>
    </row>
    <row r="55" spans="1:24" ht="20.100000000000001" customHeight="1">
      <c r="A55" s="1518" t="s">
        <v>5021</v>
      </c>
      <c r="B55" s="3" t="str">
        <f>IF(OR(MUKEN,bern),IF(bern,Uebersetzung!D150,Uebersetzung!D152),"Minergie -A")</f>
        <v>Sachbearbeiter/-in, Tel.:</v>
      </c>
      <c r="C55" s="2686"/>
      <c r="D55" s="2687"/>
      <c r="E55" s="2687"/>
      <c r="F55" s="2688"/>
      <c r="G55" s="2608"/>
      <c r="H55" s="2609"/>
      <c r="I55" s="2609"/>
      <c r="J55" s="2436"/>
      <c r="K55" s="2436"/>
      <c r="M55" s="456"/>
      <c r="O55" s="605"/>
    </row>
    <row r="56" spans="1:24" ht="20.100000000000001" customHeight="1">
      <c r="A56" s="1518" t="s">
        <v>5022</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610" t="str">
        <f>IF(EBF=0,"",IF(J52="0",Uebersetzung!$D$25,IF(ROUND(H56,1)&gt;=ROUND(G56,1),Uebersetzung!$D$25,Uebersetzung!$D$26)))</f>
        <v/>
      </c>
      <c r="J56" s="2611"/>
      <c r="K56" s="2612"/>
      <c r="M56" s="456"/>
      <c r="O56" s="605"/>
    </row>
    <row r="57" spans="1:24" ht="3.95" customHeight="1">
      <c r="A57" s="1520"/>
      <c r="B57" s="2685" t="str">
        <f>Uebersetzung!D153</f>
        <v>Ort, Datum, Unterschrift:</v>
      </c>
      <c r="C57" s="2689"/>
      <c r="D57" s="2690"/>
      <c r="E57" s="2690"/>
      <c r="F57" s="2691"/>
      <c r="G57" s="2689"/>
      <c r="H57" s="2690"/>
      <c r="I57" s="2690"/>
      <c r="J57" s="2690"/>
      <c r="K57" s="2690"/>
      <c r="M57" s="456"/>
      <c r="O57" s="609"/>
    </row>
    <row r="58" spans="1:24" ht="20.100000000000001" customHeight="1">
      <c r="A58" s="1520"/>
      <c r="B58" s="2685"/>
      <c r="C58" s="2692"/>
      <c r="D58" s="2693"/>
      <c r="E58" s="2693"/>
      <c r="F58" s="2694"/>
      <c r="G58" s="2692"/>
      <c r="H58" s="2693"/>
      <c r="I58" s="2693"/>
      <c r="J58" s="2693"/>
      <c r="K58" s="2693"/>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oder:</v>
      </c>
      <c r="G60" s="2703"/>
      <c r="H60" s="2704"/>
      <c r="I60" s="2704"/>
      <c r="J60" s="2704"/>
      <c r="K60" s="2704"/>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46034.719198842591</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632" t="str">
        <f>IF(auswahl1&gt;0,INDEX(Standardwerte!$AF$5:$AF$13,2),"")</f>
        <v/>
      </c>
      <c r="C66" s="2633"/>
      <c r="D66" s="391" t="str">
        <f>IF(minergiea,"Bestgeräte",IF(auswahl1&gt;0,INDEX(Standardwerte!$BA$5:$BA$13,2),""))</f>
        <v/>
      </c>
      <c r="E66" s="392"/>
      <c r="F66" s="393"/>
      <c r="G66" s="145" t="s">
        <v>310</v>
      </c>
      <c r="H66" s="145" t="s">
        <v>311</v>
      </c>
      <c r="I66" s="877"/>
      <c r="J66" s="2701"/>
      <c r="K66" s="2702"/>
      <c r="M66" s="155"/>
      <c r="N66" s="122"/>
    </row>
    <row r="67" spans="1:14" ht="17.25" hidden="1" customHeight="1">
      <c r="A67" s="1518" t="s">
        <v>398</v>
      </c>
      <c r="B67" s="2634" t="str">
        <f>IF(auswahl2&gt;0,INDEX(Standardwerte!$AF$5:$AF$13,3),"")</f>
        <v/>
      </c>
      <c r="C67" s="2635"/>
      <c r="D67" s="387" t="str">
        <f>IF(auswahl2&gt;0,INDEX(Standardwerte!$BA$5:$BA$13,3),"")</f>
        <v/>
      </c>
      <c r="E67" s="388"/>
      <c r="F67" s="389"/>
      <c r="G67" s="146" t="s">
        <v>310</v>
      </c>
      <c r="H67" s="146" t="s">
        <v>311</v>
      </c>
      <c r="I67" s="878"/>
      <c r="J67" s="2699"/>
      <c r="K67" s="2700"/>
      <c r="M67" s="155"/>
      <c r="N67" s="121"/>
    </row>
    <row r="68" spans="1:14" ht="17.25" hidden="1" customHeight="1">
      <c r="A68" s="1518" t="s">
        <v>399</v>
      </c>
      <c r="B68" s="2634" t="str">
        <f>IF(auswahl3&gt;0,INDEX(Standardwerte!$AF$5:$AF$13,4),"")</f>
        <v/>
      </c>
      <c r="C68" s="2635"/>
      <c r="D68" s="387" t="str">
        <f>IF(auswahl3&gt;0,INDEX(Standardwerte!$BA$5:$BA$13,4),"")</f>
        <v/>
      </c>
      <c r="E68" s="388"/>
      <c r="F68" s="389"/>
      <c r="G68" s="146" t="s">
        <v>310</v>
      </c>
      <c r="H68" s="146" t="s">
        <v>311</v>
      </c>
      <c r="I68" s="879"/>
      <c r="J68" s="2697"/>
      <c r="K68" s="2698"/>
      <c r="M68" s="155"/>
      <c r="N68" s="121"/>
    </row>
    <row r="69" spans="1:14" ht="17.25" hidden="1" customHeight="1">
      <c r="A69" s="1518" t="s">
        <v>400</v>
      </c>
      <c r="B69" s="2634" t="str">
        <f>IF(auswahl4&gt;0,INDEX(Standardwerte!$AF$5:$AF$13,5),"")</f>
        <v/>
      </c>
      <c r="C69" s="2635"/>
      <c r="D69" s="387" t="str">
        <f>IF(auswahl4&gt;0,INDEX(Standardwerte!$BA$5:$BA$13,5),"")</f>
        <v/>
      </c>
      <c r="E69" s="388"/>
      <c r="F69" s="389"/>
      <c r="G69" s="146" t="s">
        <v>310</v>
      </c>
      <c r="H69" s="146" t="s">
        <v>311</v>
      </c>
      <c r="I69" s="879"/>
      <c r="J69" s="2697"/>
      <c r="K69" s="2698"/>
      <c r="M69" s="155" t="b">
        <v>0</v>
      </c>
      <c r="N69" s="121"/>
    </row>
    <row r="70" spans="1:14" ht="17.25" hidden="1" customHeight="1">
      <c r="A70" s="1518" t="s">
        <v>401</v>
      </c>
      <c r="B70" s="2634" t="str">
        <f>IF(auswahl5&gt;0,INDEX(Standardwerte!$AF$5:$AF$13,6),"")</f>
        <v/>
      </c>
      <c r="C70" s="2635"/>
      <c r="D70" s="387" t="str">
        <f>IF(auswahl5&gt;0,INDEX(Standardwerte!$BA$5:$BA$13,6),"")</f>
        <v/>
      </c>
      <c r="E70" s="388"/>
      <c r="F70" s="389"/>
      <c r="G70" s="146" t="s">
        <v>310</v>
      </c>
      <c r="H70" s="146" t="s">
        <v>311</v>
      </c>
      <c r="I70" s="879"/>
      <c r="J70" s="2697"/>
      <c r="K70" s="2698"/>
      <c r="M70" s="155" t="b">
        <v>0</v>
      </c>
      <c r="N70" s="121"/>
    </row>
    <row r="71" spans="1:14" ht="17.25" hidden="1" customHeight="1">
      <c r="A71" s="1518" t="s">
        <v>402</v>
      </c>
      <c r="B71" s="2634" t="str">
        <f>IF(auswahl6&gt;0,INDEX(Standardwerte!$AF$5:$AF$13,7),"")</f>
        <v/>
      </c>
      <c r="C71" s="2635"/>
      <c r="D71" s="387" t="str">
        <f>IF(auswahl6&gt;0,INDEX(Standardwerte!$BA$5:$BA$13,7),"")</f>
        <v/>
      </c>
      <c r="E71" s="388"/>
      <c r="F71" s="389"/>
      <c r="G71" s="146" t="s">
        <v>310</v>
      </c>
      <c r="H71" s="146" t="s">
        <v>311</v>
      </c>
      <c r="I71" s="879"/>
      <c r="J71" s="2697"/>
      <c r="K71" s="2698"/>
      <c r="M71" s="155" t="b">
        <v>1</v>
      </c>
      <c r="N71" s="121"/>
    </row>
    <row r="72" spans="1:14" ht="17.25" hidden="1" customHeight="1">
      <c r="A72" s="1518" t="s">
        <v>430</v>
      </c>
      <c r="B72" s="2634" t="str">
        <f>IF(auswahl7&gt;0,INDEX(Standardwerte!$AF$5:$AF$13,8),"")</f>
        <v/>
      </c>
      <c r="C72" s="2635"/>
      <c r="D72" s="387" t="str">
        <f>IF(auswahl7&gt;0,INDEX(Standardwerte!$BA$5:$BA$13,8),"")</f>
        <v/>
      </c>
      <c r="E72" s="388"/>
      <c r="F72" s="389"/>
      <c r="G72" s="146" t="s">
        <v>310</v>
      </c>
      <c r="H72" s="146" t="s">
        <v>311</v>
      </c>
      <c r="I72" s="879"/>
      <c r="J72" s="2697"/>
      <c r="K72" s="2698"/>
      <c r="M72" s="155"/>
      <c r="N72" s="121"/>
    </row>
    <row r="73" spans="1:14" ht="17.25" hidden="1" customHeight="1">
      <c r="A73" s="1518" t="s">
        <v>116</v>
      </c>
      <c r="B73" s="2626" t="str">
        <f>IF(auswahl8&gt;0,INDEX(Standardwerte!$AF$5:$AF$13,9),"")</f>
        <v/>
      </c>
      <c r="C73" s="2627"/>
      <c r="D73" s="390" t="str">
        <f>IF(auswahl8&gt;0,INDEX(Standardwerte!$BA$5:$BA$13,9),"")</f>
        <v/>
      </c>
      <c r="E73" s="385"/>
      <c r="F73" s="386"/>
      <c r="G73" s="147" t="s">
        <v>310</v>
      </c>
      <c r="H73" s="147" t="s">
        <v>311</v>
      </c>
      <c r="I73" s="880">
        <f>IF(OR(minergiep,minergiea),IF(Neubau=2,"0.6 1/h",IF(Neubau=3,"1.5 1/h","0.6 (bzw. 1.5)")),)</f>
        <v>0</v>
      </c>
      <c r="J73" s="2695"/>
      <c r="K73" s="2696"/>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36" t="s">
        <v>369</v>
      </c>
      <c r="C77" s="2637"/>
      <c r="D77" s="2637"/>
      <c r="E77" s="2637"/>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30" t="str">
        <f>"- Eingabe (Berechnung beilegen)"</f>
        <v>- Eingabe (Berechnung beilegen)</v>
      </c>
      <c r="C80" s="2631"/>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IF(AND(OR(MUKEN,bern),Nachweis!G43=0),0,IF(OR(F80&gt;0,_Qel1&gt;0),IF(F80&gt;0,F80,_Qel1),))</f>
        <v>0</v>
      </c>
      <c r="G83" s="854">
        <f>IF(AND(OR(MUKEN,bern),Nachweis!H43=0),0,IF(OR(G80&gt;0,_Qel2&gt;0),IF(G80&gt;0,G80,_Qel2),))</f>
        <v>0</v>
      </c>
      <c r="H83" s="854">
        <f>IF(AND(OR(MUKEN,bern),Nachweis!I43=0),0,IF(OR(H80&gt;0,_Qel3&gt;0),IF(H80&gt;0,H80,_Qel3),))</f>
        <v>0</v>
      </c>
      <c r="I83" s="419">
        <f>IF(AND(OR(MUKEN,bern),Nachweis!J43=0),0,IF(OR(I80&gt;0,_Qel4&gt;0),IF(I80&gt;0,I80,_Qel4),))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IF(AND(OR(MUKEN,bern),Nachweis!G43=0),0,IF(E_Qk11&gt;0,E_Qk11,0))</f>
        <v>0</v>
      </c>
      <c r="G84" s="453">
        <f>IF(AND(OR(MUKEN,bern),Nachweis!H43=0),0,IF(E_Qk22&gt;0,E_Qk22,0))</f>
        <v>0</v>
      </c>
      <c r="H84" s="453">
        <f>IF(AND(OR(MUKEN,bern),Nachweis!I43=0),0,IF(E_Qk33&gt;0,E_Qk33,0))</f>
        <v>0</v>
      </c>
      <c r="I84" s="453">
        <f>IF(AND(OR(MUKEN,bern),Nachweis!J43=0),0,IF(E_Qk44&gt;0,E_Qk44,0))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26" t="s">
        <v>190</v>
      </c>
      <c r="C89" s="2627"/>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2926</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1">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B20:C20"/>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A24">
    <cfRule type="expression" dxfId="488" priority="40">
      <formula>AND(bern,EBF_Zweckneubau&lt;1000.1)</formula>
    </cfRule>
  </conditionalFormatting>
  <conditionalFormatting sqref="A50:A56">
    <cfRule type="expression" dxfId="487" priority="51">
      <formula>MUKEN=TRUE</formula>
    </cfRule>
  </conditionalFormatting>
  <conditionalFormatting sqref="A54">
    <cfRule type="expression" dxfId="486" priority="38">
      <formula>bern</formula>
    </cfRule>
  </conditionalFormatting>
  <conditionalFormatting sqref="A55:A56">
    <cfRule type="expression" dxfId="485" priority="49">
      <formula>AND(MUKEN=FALSE,minergiea=FALSE)</formula>
    </cfRule>
    <cfRule type="expression" dxfId="484" priority="50">
      <formula>MUKEN</formula>
    </cfRule>
  </conditionalFormatting>
  <conditionalFormatting sqref="A23:E24">
    <cfRule type="expression" dxfId="483" priority="350">
      <formula>MUKEN=TRUE</formula>
    </cfRule>
  </conditionalFormatting>
  <conditionalFormatting sqref="B25">
    <cfRule type="expression" dxfId="482" priority="490">
      <formula>MUKEN=TRUE</formula>
    </cfRule>
  </conditionalFormatting>
  <conditionalFormatting sqref="B49:B50">
    <cfRule type="expression" dxfId="481" priority="126">
      <formula>MUKEN=TRUE</formula>
    </cfRule>
  </conditionalFormatting>
  <conditionalFormatting sqref="B50">
    <cfRule type="expression" dxfId="480" priority="103">
      <formula>MUKEN=FALSE</formula>
    </cfRule>
  </conditionalFormatting>
  <conditionalFormatting sqref="B51">
    <cfRule type="expression" dxfId="479" priority="141">
      <formula>MUKEN=FALSE</formula>
    </cfRule>
  </conditionalFormatting>
  <conditionalFormatting sqref="B52:B53">
    <cfRule type="expression" dxfId="478" priority="114">
      <formula>MUKEN=FALSE</formula>
    </cfRule>
  </conditionalFormatting>
  <conditionalFormatting sqref="B54">
    <cfRule type="expression" dxfId="477" priority="149">
      <formula>MUKEN=FALSE</formula>
    </cfRule>
  </conditionalFormatting>
  <conditionalFormatting sqref="B55">
    <cfRule type="expression" dxfId="476" priority="54">
      <formula>minergiea</formula>
    </cfRule>
  </conditionalFormatting>
  <conditionalFormatting sqref="B56">
    <cfRule type="expression" dxfId="475" priority="26">
      <formula>bern</formula>
    </cfRule>
    <cfRule type="expression" dxfId="474" priority="55">
      <formula>minergiea</formula>
    </cfRule>
  </conditionalFormatting>
  <conditionalFormatting sqref="B57:B58">
    <cfRule type="expression" dxfId="473" priority="66">
      <formula>AND(MUKEN=FALSE,bern=FALSE)</formula>
    </cfRule>
  </conditionalFormatting>
  <conditionalFormatting sqref="B59">
    <cfRule type="expression" dxfId="472" priority="79">
      <formula>MUKEN=FALSE</formula>
    </cfRule>
    <cfRule type="expression" dxfId="471" priority="80">
      <formula>MUKEN=TRUE</formula>
    </cfRule>
  </conditionalFormatting>
  <conditionalFormatting sqref="B20:E20 K20">
    <cfRule type="expression" dxfId="470" priority="5">
      <formula>OR(bern=FALSE,AND(bern=TRUE,EBF_wohnen_neu=0))</formula>
    </cfRule>
  </conditionalFormatting>
  <conditionalFormatting sqref="B21:E21">
    <cfRule type="expression" dxfId="469" priority="348">
      <formula>MUKEN=TRUE</formula>
    </cfRule>
  </conditionalFormatting>
  <conditionalFormatting sqref="B52:F52">
    <cfRule type="expression" dxfId="468" priority="122">
      <formula>MUKEN=FALSE</formula>
    </cfRule>
  </conditionalFormatting>
  <conditionalFormatting sqref="B54:G54">
    <cfRule type="expression" dxfId="467" priority="25">
      <formula>bern</formula>
    </cfRule>
  </conditionalFormatting>
  <conditionalFormatting sqref="B56:H56">
    <cfRule type="expression" dxfId="466" priority="67">
      <formula>AND(MUKEN=FALSE,minergiea=FALSE)</formula>
    </cfRule>
  </conditionalFormatting>
  <conditionalFormatting sqref="B24:K24">
    <cfRule type="expression" dxfId="465" priority="41">
      <formula>AND(bern,EBF_Zweckneubau&lt;1000.1)</formula>
    </cfRule>
  </conditionalFormatting>
  <conditionalFormatting sqref="B47:K47">
    <cfRule type="expression" dxfId="464" priority="144">
      <formula>AND(MUKEN=FALSE,bern=FALSE)</formula>
    </cfRule>
    <cfRule type="expression" dxfId="463" priority="398">
      <formula>OR(MUKEN,bern)</formula>
    </cfRule>
  </conditionalFormatting>
  <conditionalFormatting sqref="B48:K48">
    <cfRule type="expression" dxfId="462" priority="174">
      <formula>MUKEN=FALSE</formula>
    </cfRule>
  </conditionalFormatting>
  <conditionalFormatting sqref="B55:K55">
    <cfRule type="expression" dxfId="461" priority="68">
      <formula>AND(bern=FALSE,MUKEN=FALSE,minergiea=FALSE)</formula>
    </cfRule>
  </conditionalFormatting>
  <conditionalFormatting sqref="B59:K59">
    <cfRule type="expression" dxfId="460" priority="78">
      <formula>AND(MUKEN=FALSE,minergiea=FALSE)</formula>
    </cfRule>
  </conditionalFormatting>
  <conditionalFormatting sqref="B60:K62">
    <cfRule type="expression" dxfId="459" priority="77">
      <formula>MUKEN=FALSE</formula>
    </cfRule>
  </conditionalFormatting>
  <conditionalFormatting sqref="B62:K62">
    <cfRule type="expression" dxfId="458" priority="20">
      <formula>bern</formula>
    </cfRule>
  </conditionalFormatting>
  <conditionalFormatting sqref="B90:K90">
    <cfRule type="expression" dxfId="457" priority="491">
      <formula>MUKEN=TRUE</formula>
    </cfRule>
  </conditionalFormatting>
  <conditionalFormatting sqref="B107:K107">
    <cfRule type="expression" dxfId="456" priority="190">
      <formula>MUKEN=FALSE</formula>
    </cfRule>
  </conditionalFormatting>
  <conditionalFormatting sqref="C51">
    <cfRule type="expression" dxfId="455" priority="121">
      <formula>MUKEN=FALSE</formula>
    </cfRule>
  </conditionalFormatting>
  <conditionalFormatting sqref="C56">
    <cfRule type="expression" dxfId="454" priority="63">
      <formula>OR(MUKEN,bern)</formula>
    </cfRule>
  </conditionalFormatting>
  <conditionalFormatting sqref="C54:E54">
    <cfRule type="expression" dxfId="453" priority="136">
      <formula>MUKEN=FALSE</formula>
    </cfRule>
  </conditionalFormatting>
  <conditionalFormatting sqref="C48:F48">
    <cfRule type="expression" dxfId="452" priority="158">
      <formula>MUKEN=FALSE</formula>
    </cfRule>
  </conditionalFormatting>
  <conditionalFormatting sqref="C49:F50">
    <cfRule type="expression" dxfId="451" priority="125">
      <formula>MUKEN=TRUE</formula>
    </cfRule>
  </conditionalFormatting>
  <conditionalFormatting sqref="C50:F50">
    <cfRule type="expression" dxfId="450" priority="111">
      <formula>MUKEN=FALSE</formula>
    </cfRule>
  </conditionalFormatting>
  <conditionalFormatting sqref="C55:F55">
    <cfRule type="expression" dxfId="449" priority="62">
      <formula>minergiea=TRUE</formula>
    </cfRule>
  </conditionalFormatting>
  <conditionalFormatting sqref="C56:F56">
    <cfRule type="expression" dxfId="448" priority="56">
      <formula>minergiea</formula>
    </cfRule>
  </conditionalFormatting>
  <conditionalFormatting sqref="C48:K48">
    <cfRule type="expression" dxfId="447" priority="159">
      <formula>MUKEN=TRUE</formula>
    </cfRule>
  </conditionalFormatting>
  <conditionalFormatting sqref="C49:K49">
    <cfRule type="expression" dxfId="446" priority="104">
      <formula>MUKEN=FALSE</formula>
    </cfRule>
  </conditionalFormatting>
  <conditionalFormatting sqref="C50:K50">
    <cfRule type="expression" dxfId="445" priority="101">
      <formula>MUKEN=TRUE</formula>
    </cfRule>
  </conditionalFormatting>
  <conditionalFormatting sqref="C57:K58">
    <cfRule type="expression" dxfId="444" priority="65">
      <formula>AND(MUKEN=FALSE,bern=FALSE)</formula>
    </cfRule>
  </conditionalFormatting>
  <conditionalFormatting sqref="D23:D24">
    <cfRule type="expression" dxfId="443" priority="46">
      <formula>bern</formula>
    </cfRule>
  </conditionalFormatting>
  <conditionalFormatting sqref="D51">
    <cfRule type="expression" dxfId="442" priority="120">
      <formula>MUKEN=FALSE</formula>
    </cfRule>
  </conditionalFormatting>
  <conditionalFormatting sqref="D53">
    <cfRule type="expression" dxfId="441" priority="132">
      <formula>MUKEN=TRUE</formula>
    </cfRule>
  </conditionalFormatting>
  <conditionalFormatting sqref="D25:K25">
    <cfRule type="expression" dxfId="440" priority="484">
      <formula>MUKEN=TRUE</formula>
    </cfRule>
  </conditionalFormatting>
  <conditionalFormatting sqref="E46">
    <cfRule type="expression" dxfId="439" priority="242">
      <formula>$D$47=1</formula>
    </cfRule>
  </conditionalFormatting>
  <conditionalFormatting sqref="E51">
    <cfRule type="expression" dxfId="438" priority="119">
      <formula>MUKEN=FALSE</formula>
    </cfRule>
  </conditionalFormatting>
  <conditionalFormatting sqref="E53 G52">
    <cfRule type="expression" dxfId="437" priority="166">
      <formula>MUKEN=TRUE</formula>
    </cfRule>
  </conditionalFormatting>
  <conditionalFormatting sqref="E53">
    <cfRule type="expression" dxfId="436" priority="113">
      <formula>MUKEN=FALSE</formula>
    </cfRule>
  </conditionalFormatting>
  <conditionalFormatting sqref="F17">
    <cfRule type="expression" dxfId="435" priority="443">
      <formula>ISERROR(_WW1)</formula>
    </cfRule>
  </conditionalFormatting>
  <conditionalFormatting sqref="F20">
    <cfRule type="expression" dxfId="434" priority="4">
      <formula>OR(bern=FALSE,AND(bern=TRUE,EBF_wohnen_neu1=0))</formula>
    </cfRule>
  </conditionalFormatting>
  <conditionalFormatting sqref="F23">
    <cfRule type="expression" dxfId="433" priority="36">
      <formula>AND(bern,wohnen1=FALSE)</formula>
    </cfRule>
    <cfRule type="expression" dxfId="432" priority="48">
      <formula>AND(bern,wohnen1)</formula>
    </cfRule>
  </conditionalFormatting>
  <conditionalFormatting sqref="F24">
    <cfRule type="expression" dxfId="431" priority="27">
      <formula>AND(bern,OR(wohnen1,EBF_Zweckneubau&lt;1000.1))</formula>
    </cfRule>
  </conditionalFormatting>
  <conditionalFormatting sqref="F25">
    <cfRule type="expression" dxfId="430" priority="592" stopIfTrue="1">
      <formula>AND(Hoehe&lt;800,minergiep=FALSE,minergiea=FALSE)</formula>
    </cfRule>
    <cfRule type="expression" dxfId="429" priority="593" stopIfTrue="1">
      <formula>OR(AND(minergiep=TRUE,Luftheizung),minergiea=TRUE)</formula>
    </cfRule>
    <cfRule type="expression" dxfId="428" priority="594" stopIfTrue="1">
      <formula>AND(minergiep,Luftheizung=FALSE)</formula>
    </cfRule>
  </conditionalFormatting>
  <conditionalFormatting sqref="F30">
    <cfRule type="expression" dxfId="427" priority="441">
      <formula>ISERROR(Standardlüftung1)</formula>
    </cfRule>
  </conditionalFormatting>
  <conditionalFormatting sqref="F31">
    <cfRule type="expression" dxfId="426" priority="604" stopIfTrue="1">
      <formula>Standardlüftung1=3</formula>
    </cfRule>
  </conditionalFormatting>
  <conditionalFormatting sqref="F32">
    <cfRule type="expression" dxfId="425" priority="561" stopIfTrue="1">
      <formula>AND(Kategorie1&lt;6,Kategorie1&gt;1,Standardlüftung1&gt;2)</formula>
    </cfRule>
  </conditionalFormatting>
  <conditionalFormatting sqref="F34:F35">
    <cfRule type="expression" dxfId="424" priority="608" stopIfTrue="1">
      <formula>AND(Standardlüftung1&gt;2)</formula>
    </cfRule>
  </conditionalFormatting>
  <conditionalFormatting sqref="F37">
    <cfRule type="expression" dxfId="423" priority="437">
      <formula>Standardlüftung1=3</formula>
    </cfRule>
  </conditionalFormatting>
  <conditionalFormatting sqref="F40">
    <cfRule type="expression" dxfId="422" priority="433" stopIfTrue="1">
      <formula>Standardlüftung1=3</formula>
    </cfRule>
  </conditionalFormatting>
  <conditionalFormatting sqref="F40:F41">
    <cfRule type="expression" dxfId="421" priority="246">
      <formula>$F$94</formula>
    </cfRule>
    <cfRule type="expression" dxfId="420" priority="454" stopIfTrue="1">
      <formula>$F$78</formula>
    </cfRule>
    <cfRule type="expression" dxfId="419" priority="555" stopIfTrue="1">
      <formula>$F$88=FALSE</formula>
    </cfRule>
  </conditionalFormatting>
  <conditionalFormatting sqref="F40:F43">
    <cfRule type="expression" dxfId="418" priority="453" stopIfTrue="1">
      <formula>Kategorie1=13</formula>
    </cfRule>
  </conditionalFormatting>
  <conditionalFormatting sqref="F41">
    <cfRule type="expression" dxfId="417" priority="432">
      <formula>Standardlüftung1=3</formula>
    </cfRule>
  </conditionalFormatting>
  <conditionalFormatting sqref="F42">
    <cfRule type="expression" dxfId="416" priority="566" stopIfTrue="1">
      <formula>OR($F$77,$F$76)</formula>
    </cfRule>
  </conditionalFormatting>
  <conditionalFormatting sqref="F43">
    <cfRule type="expression" dxfId="415" priority="716" stopIfTrue="1">
      <formula>$F$77</formula>
    </cfRule>
  </conditionalFormatting>
  <conditionalFormatting sqref="F46">
    <cfRule type="expression" dxfId="414" priority="468" stopIfTrue="1">
      <formula>Kategorie1=13</formula>
    </cfRule>
  </conditionalFormatting>
  <conditionalFormatting sqref="F51">
    <cfRule type="expression" dxfId="413" priority="123">
      <formula>MUKEN=FALSE</formula>
    </cfRule>
    <cfRule type="expression" dxfId="412" priority="173">
      <formula>MUKEN=TRUE</formula>
    </cfRule>
  </conditionalFormatting>
  <conditionalFormatting sqref="F52">
    <cfRule type="expression" dxfId="411" priority="129">
      <formula>MUKEN=TRUE</formula>
    </cfRule>
  </conditionalFormatting>
  <conditionalFormatting sqref="F53">
    <cfRule type="expression" dxfId="410" priority="131">
      <formula>MUKEN=TRUE</formula>
    </cfRule>
  </conditionalFormatting>
  <conditionalFormatting sqref="F54">
    <cfRule type="expression" dxfId="409" priority="170">
      <formula>MUKEN=TRUE</formula>
    </cfRule>
    <cfRule type="expression" dxfId="408" priority="176">
      <formula>OR(minergie=TRUE,minergiep=TRUE,MUKEN=warh)</formula>
    </cfRule>
  </conditionalFormatting>
  <conditionalFormatting sqref="F56">
    <cfRule type="expression" dxfId="407" priority="64">
      <formula>OR(MUKEN,bern)</formula>
    </cfRule>
  </conditionalFormatting>
  <conditionalFormatting sqref="F60">
    <cfRule type="expression" dxfId="406" priority="19">
      <formula>bern</formula>
    </cfRule>
  </conditionalFormatting>
  <conditionalFormatting sqref="F79">
    <cfRule type="expression" dxfId="405" priority="552" stopIfTrue="1">
      <formula>minergiep=TRUE</formula>
    </cfRule>
    <cfRule type="expression" dxfId="404" priority="553" stopIfTrue="1">
      <formula>Kategorie1=13</formula>
    </cfRule>
  </conditionalFormatting>
  <conditionalFormatting sqref="F80">
    <cfRule type="expression" dxfId="403" priority="518" stopIfTrue="1">
      <formula>Kategorie1=13</formula>
    </cfRule>
  </conditionalFormatting>
  <conditionalFormatting sqref="F19:G20 I19:I20">
    <cfRule type="expression" dxfId="402" priority="10" stopIfTrue="1">
      <formula>$O$2&lt;$F$91</formula>
    </cfRule>
  </conditionalFormatting>
  <conditionalFormatting sqref="F39:G39">
    <cfRule type="expression" dxfId="401" priority="332" stopIfTrue="1">
      <formula>"&lt;&gt;minergiep"</formula>
    </cfRule>
  </conditionalFormatting>
  <conditionalFormatting sqref="F23:I23">
    <cfRule type="expression" dxfId="400" priority="740" stopIfTrue="1">
      <formula>$O$2&lt;$F$91</formula>
    </cfRule>
  </conditionalFormatting>
  <conditionalFormatting sqref="F33:I33">
    <cfRule type="expression" dxfId="399" priority="291" stopIfTrue="1">
      <formula>OR(Standardlüftung1&gt;2,minergiep)</formula>
    </cfRule>
  </conditionalFormatting>
  <conditionalFormatting sqref="F84:I84 K84">
    <cfRule type="expression" dxfId="398" priority="519" stopIfTrue="1">
      <formula>minergiep</formula>
    </cfRule>
  </conditionalFormatting>
  <conditionalFormatting sqref="F89:I89">
    <cfRule type="expression" dxfId="397" priority="459" stopIfTrue="1">
      <formula>Kategorie1=13</formula>
    </cfRule>
  </conditionalFormatting>
  <conditionalFormatting sqref="F23:J23">
    <cfRule type="expression" dxfId="396" priority="400">
      <formula>MUKEN=TRUE</formula>
    </cfRule>
  </conditionalFormatting>
  <conditionalFormatting sqref="F24:K24">
    <cfRule type="expression" dxfId="395" priority="278">
      <formula>MUKEN=TRUE</formula>
    </cfRule>
  </conditionalFormatting>
  <conditionalFormatting sqref="F54:K54">
    <cfRule type="expression" dxfId="394" priority="112">
      <formula>AND(MUKEN=FALSE,bern=FALSE)</formula>
    </cfRule>
  </conditionalFormatting>
  <conditionalFormatting sqref="G17">
    <cfRule type="expression" dxfId="393" priority="224">
      <formula>ISERROR(_WW2)</formula>
    </cfRule>
  </conditionalFormatting>
  <conditionalFormatting sqref="G17:G20">
    <cfRule type="expression" dxfId="392" priority="9">
      <formula>Zonen&lt;2</formula>
    </cfRule>
  </conditionalFormatting>
  <conditionalFormatting sqref="G20">
    <cfRule type="expression" dxfId="391" priority="3">
      <formula>OR(bern=FALSE,AND(bern=TRUE,EBF_wohnen_neu2=0))</formula>
    </cfRule>
  </conditionalFormatting>
  <conditionalFormatting sqref="G21:G24">
    <cfRule type="expression" dxfId="390" priority="311">
      <formula>Zonen&lt;2</formula>
    </cfRule>
  </conditionalFormatting>
  <conditionalFormatting sqref="G23">
    <cfRule type="expression" dxfId="389" priority="35">
      <formula>AND(bern,wohnen2=FALSE)</formula>
    </cfRule>
    <cfRule type="expression" dxfId="388" priority="45">
      <formula>AND(bern,Zonen&gt;1,wohnen2)</formula>
    </cfRule>
  </conditionalFormatting>
  <conditionalFormatting sqref="G24">
    <cfRule type="expression" dxfId="387" priority="28">
      <formula>AND(bern,OR(wohnen2,EBF_Zweckneubau&lt;1000.1))</formula>
    </cfRule>
  </conditionalFormatting>
  <conditionalFormatting sqref="G25">
    <cfRule type="expression" dxfId="386" priority="595" stopIfTrue="1">
      <formula>AND(Zonen&gt;1,Hoehe&gt;=800,minergiep=FALSE,minergiea=FALSE)</formula>
    </cfRule>
    <cfRule type="expression" dxfId="385" priority="596" stopIfTrue="1">
      <formula>OR(AND(Zonen&gt;1,AND(minergiep=TRUE,Luftheizung)),AND(Zonen&gt;1,minergiea=TRUE))</formula>
    </cfRule>
    <cfRule type="expression" dxfId="384" priority="597" stopIfTrue="1">
      <formula>AND(Zonen&gt;1,AND(minergiep=TRUE,Luftheizung=FALSE))</formula>
    </cfRule>
  </conditionalFormatting>
  <conditionalFormatting sqref="G30">
    <cfRule type="expression" dxfId="383" priority="205">
      <formula>Zonen&lt;2</formula>
    </cfRule>
    <cfRule type="expression" dxfId="382" priority="207">
      <formula>ISERROR(Standardlüftung2)</formula>
    </cfRule>
  </conditionalFormatting>
  <conditionalFormatting sqref="G31">
    <cfRule type="expression" dxfId="381" priority="212" stopIfTrue="1">
      <formula>Standardlüftung2=3</formula>
    </cfRule>
  </conditionalFormatting>
  <conditionalFormatting sqref="G32">
    <cfRule type="expression" dxfId="380" priority="231" stopIfTrue="1">
      <formula>AND(Kategorie2&lt;6,Kategorie2&gt;1,Standardlüftung2&gt;2)</formula>
    </cfRule>
  </conditionalFormatting>
  <conditionalFormatting sqref="G34:G35">
    <cfRule type="expression" dxfId="379" priority="329" stopIfTrue="1">
      <formula>AND(Standardlüftung2&gt;2)</formula>
    </cfRule>
  </conditionalFormatting>
  <conditionalFormatting sqref="G37">
    <cfRule type="expression" dxfId="378" priority="436">
      <formula>Standardlüftung2=3</formula>
    </cfRule>
  </conditionalFormatting>
  <conditionalFormatting sqref="G39">
    <cfRule type="expression" dxfId="377" priority="302">
      <formula>Zonen&lt;2</formula>
    </cfRule>
  </conditionalFormatting>
  <conditionalFormatting sqref="G40:G41">
    <cfRule type="expression" dxfId="376" priority="245">
      <formula>$G$94</formula>
    </cfRule>
    <cfRule type="expression" dxfId="375" priority="430">
      <formula>OR(Standardlüftung2=3,Kategorie2=1)</formula>
    </cfRule>
    <cfRule type="expression" dxfId="374" priority="451" stopIfTrue="1">
      <formula>$G$78</formula>
    </cfRule>
    <cfRule type="expression" dxfId="373" priority="452" stopIfTrue="1">
      <formula>$G$88=FALSE</formula>
    </cfRule>
    <cfRule type="expression" dxfId="372" priority="563" stopIfTrue="1">
      <formula>AND(Zonen&gt;1,Kategorie2&lt;&gt;13)</formula>
    </cfRule>
  </conditionalFormatting>
  <conditionalFormatting sqref="G42:G43">
    <cfRule type="expression" dxfId="371" priority="567" stopIfTrue="1">
      <formula>OR($G$77,$G$76)</formula>
    </cfRule>
    <cfRule type="expression" dxfId="370" priority="568" stopIfTrue="1">
      <formula>AND(Zonen&gt;1,Kategorie2&lt;&gt;13)</formula>
    </cfRule>
  </conditionalFormatting>
  <conditionalFormatting sqref="G43">
    <cfRule type="expression" dxfId="369" priority="366" stopIfTrue="1">
      <formula>Kategorie2=13</formula>
    </cfRule>
    <cfRule type="expression" dxfId="368" priority="367" stopIfTrue="1">
      <formula>$G$77</formula>
    </cfRule>
  </conditionalFormatting>
  <conditionalFormatting sqref="G46">
    <cfRule type="expression" dxfId="367" priority="305">
      <formula>Zonen&lt;2</formula>
    </cfRule>
    <cfRule type="expression" dxfId="366" priority="314" stopIfTrue="1">
      <formula>Kategorie2=13</formula>
    </cfRule>
  </conditionalFormatting>
  <conditionalFormatting sqref="G51">
    <cfRule type="expression" dxfId="365" priority="100">
      <formula>MUKEN=TRUE</formula>
    </cfRule>
    <cfRule type="expression" dxfId="364" priority="118">
      <formula>MUKEN=FALSE</formula>
    </cfRule>
  </conditionalFormatting>
  <conditionalFormatting sqref="G52">
    <cfRule type="expression" dxfId="363" priority="180">
      <formula>KategorieEFH=FALSE</formula>
    </cfRule>
  </conditionalFormatting>
  <conditionalFormatting sqref="G54">
    <cfRule type="expression" dxfId="362" priority="164">
      <formula>MUKEN=TRUE</formula>
    </cfRule>
  </conditionalFormatting>
  <conditionalFormatting sqref="G56">
    <cfRule type="expression" dxfId="361" priority="57">
      <formula>minergiea=TRUE</formula>
    </cfRule>
  </conditionalFormatting>
  <conditionalFormatting sqref="G79">
    <cfRule type="expression" dxfId="360" priority="546" stopIfTrue="1">
      <formula>AND(Zonen&gt;1,minergiep=FALSE,Kategorie2&lt;&gt;13)</formula>
    </cfRule>
    <cfRule type="expression" dxfId="359" priority="547" stopIfTrue="1">
      <formula>AND(Zonen&gt;1,minergiep=TRUE)</formula>
    </cfRule>
  </conditionalFormatting>
  <conditionalFormatting sqref="G80">
    <cfRule type="expression" dxfId="358" priority="543" stopIfTrue="1">
      <formula>AND(Zonen&gt;1,Kategorie2+$H$7&lt;&gt;13)</formula>
    </cfRule>
  </conditionalFormatting>
  <conditionalFormatting sqref="G92">
    <cfRule type="expression" dxfId="357" priority="500" stopIfTrue="1">
      <formula>Zonen&gt;1</formula>
    </cfRule>
  </conditionalFormatting>
  <conditionalFormatting sqref="G54:H54">
    <cfRule type="expression" dxfId="356" priority="181">
      <formula>OR(minergie=TRUE,minergiep=TRUE,bern)</formula>
    </cfRule>
  </conditionalFormatting>
  <conditionalFormatting sqref="G66:H66">
    <cfRule type="expression" dxfId="355" priority="532" stopIfTrue="1">
      <formula>$B$66&lt;&gt;""</formula>
    </cfRule>
  </conditionalFormatting>
  <conditionalFormatting sqref="G67:H67">
    <cfRule type="expression" dxfId="354" priority="533" stopIfTrue="1">
      <formula>$B$67&lt;&gt;""</formula>
    </cfRule>
  </conditionalFormatting>
  <conditionalFormatting sqref="G68:H68">
    <cfRule type="expression" dxfId="353" priority="534" stopIfTrue="1">
      <formula>$B$68&lt;&gt;""</formula>
    </cfRule>
  </conditionalFormatting>
  <conditionalFormatting sqref="G69:H69">
    <cfRule type="expression" dxfId="352" priority="535" stopIfTrue="1">
      <formula>$B$69&lt;&gt;""</formula>
    </cfRule>
  </conditionalFormatting>
  <conditionalFormatting sqref="G70:H70">
    <cfRule type="expression" dxfId="351" priority="536" stopIfTrue="1">
      <formula>$B$70&lt;&gt;""</formula>
    </cfRule>
  </conditionalFormatting>
  <conditionalFormatting sqref="G71:H71">
    <cfRule type="expression" dxfId="350" priority="537" stopIfTrue="1">
      <formula>$B$71&lt;&gt;""</formula>
    </cfRule>
  </conditionalFormatting>
  <conditionalFormatting sqref="G72:H72">
    <cfRule type="expression" dxfId="349" priority="538" stopIfTrue="1">
      <formula>$B$72&lt;&gt;""</formula>
    </cfRule>
  </conditionalFormatting>
  <conditionalFormatting sqref="G73:H73">
    <cfRule type="expression" dxfId="348" priority="539" stopIfTrue="1">
      <formula>$B$73&lt;&gt;""</formula>
    </cfRule>
  </conditionalFormatting>
  <conditionalFormatting sqref="G52:I52">
    <cfRule type="expression" dxfId="347" priority="109">
      <formula>MUKEN=FALSE</formula>
    </cfRule>
  </conditionalFormatting>
  <conditionalFormatting sqref="G55:I55">
    <cfRule type="expression" dxfId="346" priority="60">
      <formula>minergiea=TRUE</formula>
    </cfRule>
  </conditionalFormatting>
  <conditionalFormatting sqref="G49:K50">
    <cfRule type="expression" dxfId="345" priority="124">
      <formula>MUKEN=TRUE</formula>
    </cfRule>
  </conditionalFormatting>
  <conditionalFormatting sqref="G50:K50">
    <cfRule type="expression" dxfId="344" priority="110">
      <formula>MUKEN=FALSE</formula>
    </cfRule>
  </conditionalFormatting>
  <conditionalFormatting sqref="G55:K55">
    <cfRule type="expression" dxfId="343" priority="22">
      <formula>bern</formula>
    </cfRule>
  </conditionalFormatting>
  <conditionalFormatting sqref="G57:K58">
    <cfRule type="expression" dxfId="342" priority="21">
      <formula>bern</formula>
    </cfRule>
    <cfRule type="expression" dxfId="341" priority="53">
      <formula>minergiea</formula>
    </cfRule>
  </conditionalFormatting>
  <conditionalFormatting sqref="G60:K60">
    <cfRule type="expression" dxfId="340" priority="18">
      <formula>bern</formula>
    </cfRule>
  </conditionalFormatting>
  <conditionalFormatting sqref="H17">
    <cfRule type="expression" dxfId="339" priority="219">
      <formula>Zonen&lt;3</formula>
    </cfRule>
    <cfRule type="expression" dxfId="338" priority="220">
      <formula>ISERROR(_WW3)</formula>
    </cfRule>
  </conditionalFormatting>
  <conditionalFormatting sqref="H19:H20">
    <cfRule type="expression" dxfId="337" priority="7" stopIfTrue="1">
      <formula>$Q$2&lt;$H$91</formula>
    </cfRule>
  </conditionalFormatting>
  <conditionalFormatting sqref="H19:H21">
    <cfRule type="expression" dxfId="336" priority="6">
      <formula>Zonen&lt;3</formula>
    </cfRule>
  </conditionalFormatting>
  <conditionalFormatting sqref="H20">
    <cfRule type="expression" dxfId="335" priority="2">
      <formula>OR(bern=FALSE,AND(bern=TRUE,EBF_wohnen_neu3=0))</formula>
    </cfRule>
  </conditionalFormatting>
  <conditionalFormatting sqref="H23">
    <cfRule type="expression" dxfId="334" priority="34">
      <formula>AND(bern,wohnen3=FALSE)</formula>
    </cfRule>
    <cfRule type="expression" dxfId="333" priority="43">
      <formula>AND(bern,Zonen&gt;2,wohnen3)</formula>
    </cfRule>
    <cfRule type="expression" dxfId="332" priority="741">
      <formula>MUKEN=TRUE</formula>
    </cfRule>
    <cfRule type="expression" dxfId="331" priority="742" stopIfTrue="1">
      <formula>$Q$2&lt;$H$91</formula>
    </cfRule>
  </conditionalFormatting>
  <conditionalFormatting sqref="H23:H24">
    <cfRule type="expression" dxfId="330" priority="277">
      <formula>Zonen&lt;3</formula>
    </cfRule>
  </conditionalFormatting>
  <conditionalFormatting sqref="H24">
    <cfRule type="expression" dxfId="329" priority="29">
      <formula>AND(bern,OR(wohnen3,EBF_Zweckneubau&lt;1000.1))</formula>
    </cfRule>
  </conditionalFormatting>
  <conditionalFormatting sqref="H25">
    <cfRule type="expression" dxfId="328" priority="598" stopIfTrue="1">
      <formula>AND(Zonen&gt;2,Hoehe&gt;=800,minergiep=FALSE,minergiea=FALSE)</formula>
    </cfRule>
    <cfRule type="expression" dxfId="327" priority="599" stopIfTrue="1">
      <formula>OR(AND(Zonen&gt;2,AND(minergiep=TRUE,Luftheizung)),AND(Zonen&gt;2,minergiea=TRUE))</formula>
    </cfRule>
    <cfRule type="expression" dxfId="326" priority="600" stopIfTrue="1">
      <formula>AND(Zonen&gt;2,AND(minergiep=TRUE,Luftheizung=FALSE))</formula>
    </cfRule>
  </conditionalFormatting>
  <conditionalFormatting sqref="H30">
    <cfRule type="expression" dxfId="325" priority="202">
      <formula>Zonen&lt;3</formula>
    </cfRule>
    <cfRule type="expression" dxfId="324" priority="203">
      <formula>ISERROR(Standardlüftung3)</formula>
    </cfRule>
  </conditionalFormatting>
  <conditionalFormatting sqref="H31">
    <cfRule type="expression" dxfId="323" priority="210" stopIfTrue="1">
      <formula>Standardlüftung3=3</formula>
    </cfRule>
  </conditionalFormatting>
  <conditionalFormatting sqref="H32">
    <cfRule type="expression" dxfId="322" priority="230" stopIfTrue="1">
      <formula>AND(Kategorie3&lt;6,Kategorie3&gt;1,Standardlüftung3&gt;2)</formula>
    </cfRule>
  </conditionalFormatting>
  <conditionalFormatting sqref="H34:H35">
    <cfRule type="expression" dxfId="321" priority="271" stopIfTrue="1">
      <formula>AND(Standardlüftung3&gt;2)</formula>
    </cfRule>
  </conditionalFormatting>
  <conditionalFormatting sqref="H37">
    <cfRule type="expression" dxfId="320" priority="270">
      <formula>Standardlüftung3=3</formula>
    </cfRule>
  </conditionalFormatting>
  <conditionalFormatting sqref="H39">
    <cfRule type="expression" dxfId="319" priority="268">
      <formula>Zonen&lt;3</formula>
    </cfRule>
    <cfRule type="expression" dxfId="318" priority="269" stopIfTrue="1">
      <formula>"&lt;&gt;minergiep"</formula>
    </cfRule>
  </conditionalFormatting>
  <conditionalFormatting sqref="H40:H41">
    <cfRule type="expression" dxfId="317" priority="244">
      <formula>$H$94</formula>
    </cfRule>
    <cfRule type="expression" dxfId="316" priority="256">
      <formula>OR(Standardlüftung3=3,Kategorie3=1)</formula>
    </cfRule>
    <cfRule type="expression" dxfId="315" priority="257" stopIfTrue="1">
      <formula>$H$78</formula>
    </cfRule>
    <cfRule type="expression" dxfId="314" priority="258" stopIfTrue="1">
      <formula>$H$88=FALSE</formula>
    </cfRule>
    <cfRule type="expression" dxfId="313" priority="259" stopIfTrue="1">
      <formula>AND(Zonen&gt;2,Kategorie3&lt;&gt;13)</formula>
    </cfRule>
  </conditionalFormatting>
  <conditionalFormatting sqref="H42:H43">
    <cfRule type="expression" dxfId="312" priority="252" stopIfTrue="1">
      <formula>OR($H$77,$H$76)</formula>
    </cfRule>
    <cfRule type="expression" dxfId="311" priority="253" stopIfTrue="1">
      <formula>AND(Zonen&gt;2,Kategorie3&lt;&gt;13)</formula>
    </cfRule>
  </conditionalFormatting>
  <conditionalFormatting sqref="H43">
    <cfRule type="expression" dxfId="310" priority="250" stopIfTrue="1">
      <formula>Kategorie3=13</formula>
    </cfRule>
    <cfRule type="expression" dxfId="309" priority="251" stopIfTrue="1">
      <formula>$H$77</formula>
    </cfRule>
  </conditionalFormatting>
  <conditionalFormatting sqref="H46">
    <cfRule type="expression" dxfId="308" priority="247">
      <formula>Zonen&lt;3</formula>
    </cfRule>
    <cfRule type="expression" dxfId="307" priority="248" stopIfTrue="1">
      <formula>Kategorie3=13</formula>
    </cfRule>
  </conditionalFormatting>
  <conditionalFormatting sqref="H54">
    <cfRule type="expression" dxfId="306" priority="23">
      <formula>bern</formula>
    </cfRule>
  </conditionalFormatting>
  <conditionalFormatting sqref="H56">
    <cfRule type="expression" dxfId="305" priority="58">
      <formula>minergiea=TRUE</formula>
    </cfRule>
  </conditionalFormatting>
  <conditionalFormatting sqref="H79">
    <cfRule type="expression" dxfId="304" priority="548" stopIfTrue="1">
      <formula>AND(Zonen&gt;2,minergiep=FALSE,Kategorie3&lt;&gt;13)</formula>
    </cfRule>
    <cfRule type="expression" dxfId="303" priority="549" stopIfTrue="1">
      <formula>AND(Zonen&gt;2,minergiep=TRUE)</formula>
    </cfRule>
  </conditionalFormatting>
  <conditionalFormatting sqref="H80">
    <cfRule type="expression" dxfId="302" priority="544" stopIfTrue="1">
      <formula>AND(Zonen&gt;2,Kategorie3&lt;&gt;13)</formula>
    </cfRule>
  </conditionalFormatting>
  <conditionalFormatting sqref="H92">
    <cfRule type="expression" dxfId="301" priority="503" stopIfTrue="1">
      <formula>Zonen&gt;2</formula>
    </cfRule>
  </conditionalFormatting>
  <conditionalFormatting sqref="H51:J51">
    <cfRule type="expression" dxfId="300" priority="116">
      <formula>MUKEN=FALSE</formula>
    </cfRule>
  </conditionalFormatting>
  <conditionalFormatting sqref="H54:K54">
    <cfRule type="expression" dxfId="299" priority="165">
      <formula>MUKEN=TRUE</formula>
    </cfRule>
  </conditionalFormatting>
  <conditionalFormatting sqref="I17">
    <cfRule type="expression" dxfId="298" priority="222">
      <formula>ISERROR(_WW4)</formula>
    </cfRule>
  </conditionalFormatting>
  <conditionalFormatting sqref="I17:I20">
    <cfRule type="expression" dxfId="297" priority="8">
      <formula>Zonen&lt;4</formula>
    </cfRule>
  </conditionalFormatting>
  <conditionalFormatting sqref="I20">
    <cfRule type="expression" dxfId="296" priority="1">
      <formula>OR(bern=FALSE,AND(bern=TRUE,EBF_wohnen_neu4=0))</formula>
    </cfRule>
  </conditionalFormatting>
  <conditionalFormatting sqref="I21:I24">
    <cfRule type="expression" dxfId="295" priority="309">
      <formula>Zonen&lt;4</formula>
    </cfRule>
  </conditionalFormatting>
  <conditionalFormatting sqref="I23">
    <cfRule type="expression" dxfId="294" priority="33">
      <formula>AND(bern,wohnen4=FALSE)</formula>
    </cfRule>
    <cfRule type="expression" dxfId="293" priority="42">
      <formula>AND(bern,Zonen&gt;3,wohnen4)</formula>
    </cfRule>
  </conditionalFormatting>
  <conditionalFormatting sqref="I24">
    <cfRule type="expression" dxfId="292" priority="30">
      <formula>AND(bern,OR(wohnen4,EBF_Zweckneubau&lt;1000.1))</formula>
    </cfRule>
  </conditionalFormatting>
  <conditionalFormatting sqref="I25">
    <cfRule type="expression" dxfId="291" priority="601" stopIfTrue="1">
      <formula>AND(Zonen&gt;3,Hoehe&gt;=800,minergiep=FALSE,minergiea=FALSE)</formula>
    </cfRule>
    <cfRule type="expression" dxfId="290" priority="602" stopIfTrue="1">
      <formula>OR(AND(Zonen&gt;3,AND(minergiep=TRUE,Luftheizung)),AND(Zonen&gt;3,minergiea=TRUE))</formula>
    </cfRule>
    <cfRule type="expression" dxfId="289" priority="603" stopIfTrue="1">
      <formula>AND(Zonen&gt;3,AND(minergiep=TRUE,Luftheizung=FALSE))</formula>
    </cfRule>
  </conditionalFormatting>
  <conditionalFormatting sqref="I30">
    <cfRule type="expression" dxfId="288" priority="200">
      <formula>Zonen&lt;4</formula>
    </cfRule>
    <cfRule type="expression" dxfId="287" priority="201">
      <formula>ISERROR(Standardlüftung4)</formula>
    </cfRule>
  </conditionalFormatting>
  <conditionalFormatting sqref="I31">
    <cfRule type="expression" dxfId="286" priority="211" stopIfTrue="1">
      <formula>Standardlüftung4=3</formula>
    </cfRule>
  </conditionalFormatting>
  <conditionalFormatting sqref="I32">
    <cfRule type="expression" dxfId="285" priority="317" stopIfTrue="1">
      <formula>AND(Kategorie4&lt;6,Kategorie4&gt;1,Standardlüftung4&gt;2)</formula>
    </cfRule>
  </conditionalFormatting>
  <conditionalFormatting sqref="I34:I35">
    <cfRule type="expression" dxfId="284" priority="319" stopIfTrue="1">
      <formula>AND(Standardlüftung4&gt;2)</formula>
    </cfRule>
  </conditionalFormatting>
  <conditionalFormatting sqref="I37">
    <cfRule type="expression" dxfId="283" priority="434">
      <formula>Standardlüftung4=3</formula>
    </cfRule>
  </conditionalFormatting>
  <conditionalFormatting sqref="I39">
    <cfRule type="expression" dxfId="282" priority="300">
      <formula>Zonen&lt;4</formula>
    </cfRule>
    <cfRule type="expression" dxfId="281" priority="330" stopIfTrue="1">
      <formula>"&lt;&gt;minergiep"</formula>
    </cfRule>
  </conditionalFormatting>
  <conditionalFormatting sqref="I40:I41">
    <cfRule type="expression" dxfId="280" priority="243">
      <formula>$I$94</formula>
    </cfRule>
    <cfRule type="expression" dxfId="279" priority="426">
      <formula>OR(Standardlüftung4=3,Kategorie4=1)</formula>
    </cfRule>
    <cfRule type="expression" dxfId="278" priority="447" stopIfTrue="1">
      <formula>$I$78</formula>
    </cfRule>
    <cfRule type="expression" dxfId="277" priority="448" stopIfTrue="1">
      <formula>$I$88=FALSE</formula>
    </cfRule>
    <cfRule type="expression" dxfId="276" priority="560" stopIfTrue="1">
      <formula>AND(Zonen&gt;3,Kategorie4&lt;&gt;13)</formula>
    </cfRule>
  </conditionalFormatting>
  <conditionalFormatting sqref="I42:I43">
    <cfRule type="expression" dxfId="275" priority="571" stopIfTrue="1">
      <formula>OR($I$77,$I$76)</formula>
    </cfRule>
    <cfRule type="expression" dxfId="274" priority="572" stopIfTrue="1">
      <formula>AND(Zonen&gt;3,Kategorie4&lt;&gt;13)</formula>
    </cfRule>
  </conditionalFormatting>
  <conditionalFormatting sqref="I43">
    <cfRule type="expression" dxfId="273" priority="360" stopIfTrue="1">
      <formula>Kategorie4=13</formula>
    </cfRule>
    <cfRule type="expression" dxfId="272" priority="361" stopIfTrue="1">
      <formula>$I$77</formula>
    </cfRule>
  </conditionalFormatting>
  <conditionalFormatting sqref="I46">
    <cfRule type="expression" dxfId="271" priority="303">
      <formula>Zonen&lt;4</formula>
    </cfRule>
    <cfRule type="expression" dxfId="270" priority="312" stopIfTrue="1">
      <formula>Kategorie4=13</formula>
    </cfRule>
  </conditionalFormatting>
  <conditionalFormatting sqref="I53">
    <cfRule type="expression" dxfId="269" priority="107">
      <formula>MUKEN=FALSE</formula>
    </cfRule>
  </conditionalFormatting>
  <conditionalFormatting sqref="I79">
    <cfRule type="expression" dxfId="268" priority="550" stopIfTrue="1">
      <formula>AND(Zonen&gt;3,minergiep=FALSE,Kategorie4&lt;&gt;13)</formula>
    </cfRule>
    <cfRule type="expression" dxfId="267" priority="551" stopIfTrue="1">
      <formula>AND(Zonen&gt;3,minergiep=TRUE)</formula>
    </cfRule>
  </conditionalFormatting>
  <conditionalFormatting sqref="I80">
    <cfRule type="expression" dxfId="266" priority="545" stopIfTrue="1">
      <formula>AND(Zonen&gt;3,Kategorie4&lt;&gt;13)</formula>
    </cfRule>
  </conditionalFormatting>
  <conditionalFormatting sqref="I92">
    <cfRule type="expression" dxfId="265" priority="489">
      <formula>Zonen&gt;3</formula>
    </cfRule>
  </conditionalFormatting>
  <conditionalFormatting sqref="I67:J67">
    <cfRule type="expression" dxfId="264" priority="499" stopIfTrue="1">
      <formula>$B$67=""</formula>
    </cfRule>
  </conditionalFormatting>
  <conditionalFormatting sqref="I8:K8">
    <cfRule type="expression" dxfId="263" priority="384">
      <formula>MUKEN=FALSE</formula>
    </cfRule>
  </conditionalFormatting>
  <conditionalFormatting sqref="I53:K54">
    <cfRule type="expression" dxfId="262" priority="128">
      <formula>MUKEN=TRUE</formula>
    </cfRule>
  </conditionalFormatting>
  <conditionalFormatting sqref="I54:K54">
    <cfRule type="expression" dxfId="261" priority="17">
      <formula>bern</formula>
    </cfRule>
    <cfRule type="expression" dxfId="260" priority="24">
      <formula>bern</formula>
    </cfRule>
    <cfRule type="expression" dxfId="259" priority="187">
      <formula>OR(minergie=TRUE,minergiep=TRUE,MUKEN=warh)</formula>
    </cfRule>
  </conditionalFormatting>
  <conditionalFormatting sqref="I56:K56">
    <cfRule type="expression" dxfId="258" priority="86">
      <formula>OR(MUKEN,bern)</formula>
    </cfRule>
    <cfRule type="expression" dxfId="257" priority="90">
      <formula>minrgiea=TRUE</formula>
    </cfRule>
    <cfRule type="expression" dxfId="256" priority="95">
      <formula>minergiea=FALSE</formula>
    </cfRule>
  </conditionalFormatting>
  <conditionalFormatting sqref="J52">
    <cfRule type="expression" dxfId="255" priority="179">
      <formula>KategorieEFH=FALSE</formula>
    </cfRule>
  </conditionalFormatting>
  <conditionalFormatting sqref="J55">
    <cfRule type="expression" dxfId="254" priority="59">
      <formula>minergiea=TRUE</formula>
    </cfRule>
  </conditionalFormatting>
  <conditionalFormatting sqref="J73">
    <cfRule type="expression" dxfId="253" priority="504" stopIfTrue="1">
      <formula>minergiep=TRUE</formula>
    </cfRule>
  </conditionalFormatting>
  <conditionalFormatting sqref="J52:K52">
    <cfRule type="expression" dxfId="252" priority="108">
      <formula>MUKEN=FALSE</formula>
    </cfRule>
    <cfRule type="expression" dxfId="251" priority="133">
      <formula>MUKEN=TRUE</formula>
    </cfRule>
  </conditionalFormatting>
  <conditionalFormatting sqref="J53:K53">
    <cfRule type="expression" dxfId="250" priority="106">
      <formula>MUKEN=FALSE</formula>
    </cfRule>
  </conditionalFormatting>
  <conditionalFormatting sqref="K19:K20">
    <cfRule type="expression" dxfId="249" priority="11" stopIfTrue="1">
      <formula>BadMisch</formula>
    </cfRule>
  </conditionalFormatting>
  <conditionalFormatting sqref="K21">
    <cfRule type="expression" dxfId="248" priority="44">
      <formula>MUKEN</formula>
    </cfRule>
  </conditionalFormatting>
  <conditionalFormatting sqref="K23">
    <cfRule type="expression" dxfId="247" priority="241" stopIfTrue="1">
      <formula>BadMisch</formula>
    </cfRule>
  </conditionalFormatting>
  <conditionalFormatting sqref="K24">
    <cfRule type="expression" dxfId="246" priority="32">
      <formula>bern</formula>
    </cfRule>
    <cfRule type="cellIs" dxfId="245" priority="425" stopIfTrue="1" operator="lessThan">
      <formula>1000000</formula>
    </cfRule>
  </conditionalFormatting>
  <conditionalFormatting sqref="K51">
    <cfRule type="expression" dxfId="244" priority="115">
      <formula>MUKEN=FALSE</formula>
    </cfRule>
  </conditionalFormatting>
  <conditionalFormatting sqref="K55">
    <cfRule type="expression" dxfId="243" priority="61">
      <formula>minergiea=TRUE</formula>
    </cfRule>
  </conditionalFormatting>
  <conditionalFormatting sqref="K80:K82">
    <cfRule type="expression" dxfId="242" priority="455" stopIfTrue="1">
      <formula>AND(Primaeranforderung&gt;0,(qhs_vollständig*IF(EBF=0,0,(_qhs1*_EBF1+_qhs2*_EBF2+_qhs3*_EBF3+_qhs4*_EBF4)/EBF)/3.6)&gt;Primaeranforderung)</formula>
    </cfRule>
  </conditionalFormatting>
  <conditionalFormatting sqref="K90">
    <cfRule type="cellIs" dxfId="241" priority="564" stopIfTrue="1" operator="lessThan">
      <formula>1000000</formula>
    </cfRule>
  </conditionalFormatting>
  <conditionalFormatting sqref="K91">
    <cfRule type="expression" dxfId="240" priority="737" stopIfTrue="1">
      <formula>OR($O$2&lt;$F$91,$P$2&lt;$G$91,$Q$2&lt;$H$91,$R$2&lt;$I$91)</formula>
    </cfRule>
    <cfRule type="expression" dxfId="239" priority="738" stopIfTrue="1">
      <formula>BadMisch</formula>
    </cfRule>
  </conditionalFormatting>
  <conditionalFormatting sqref="K93">
    <cfRule type="expression" dxfId="238" priority="498" stopIfTrue="1">
      <formula>$L$37=1</formula>
    </cfRule>
  </conditionalFormatting>
  <conditionalFormatting sqref="L23">
    <cfRule type="expression" dxfId="237" priority="240">
      <formula>MUKEN=TRUE</formula>
    </cfRule>
  </conditionalFormatting>
  <conditionalFormatting sqref="O2:P2 R2 F91:I91">
    <cfRule type="expression" dxfId="236" priority="505" stopIfTrue="1">
      <formula>$O$2&lt;$F$91</formula>
    </cfRule>
  </conditionalFormatting>
  <conditionalFormatting sqref="P2">
    <cfRule type="expression" dxfId="235" priority="216">
      <formula>Zonen&lt;2</formula>
    </cfRule>
  </conditionalFormatting>
  <conditionalFormatting sqref="Q2">
    <cfRule type="expression" dxfId="234" priority="213">
      <formula>Zonen&lt;3</formula>
    </cfRule>
    <cfRule type="expression" dxfId="233" priority="214" stopIfTrue="1">
      <formula>$Q$2&lt;$H$91</formula>
    </cfRule>
  </conditionalFormatting>
  <conditionalFormatting sqref="R2">
    <cfRule type="expression" dxfId="232" priority="215">
      <formula>Zonen&lt;4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5"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88" stopIfTrue="1" operator="equal" id="{8CED03DE-FCA7-4BBC-BB0E-081726A14037}">
            <xm:f>MINERGIE!$N$12</xm:f>
            <x14:dxf>
              <font>
                <color auto="1"/>
              </font>
              <fill>
                <patternFill>
                  <bgColor rgb="FFCCFF99"/>
                </patternFill>
              </fill>
            </x14:dxf>
          </x14:cfRule>
          <x14:cfRule type="cellIs" priority="189"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96" stopIfTrue="1" operator="equal" id="{601A91DD-778F-496A-BBF9-5EC769C8B70F}">
            <xm:f>MINERGIE!$N$12</xm:f>
            <x14:dxf>
              <font>
                <color auto="1"/>
              </font>
              <fill>
                <patternFill>
                  <bgColor rgb="FFCCFF99"/>
                </patternFill>
              </fill>
              <border>
                <left style="thin">
                  <color auto="1"/>
                </left>
              </border>
            </x14:dxf>
          </x14:cfRule>
          <x14:cfRule type="cellIs" priority="97"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1531</v>
      </c>
      <c r="R4" s="593" t="s">
        <v>2956</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1532</v>
      </c>
      <c r="R5" s="593" t="s">
        <v>2957</v>
      </c>
    </row>
    <row r="6" spans="1:18" ht="15" customHeight="1">
      <c r="C6" s="1559"/>
      <c r="D6" s="1561"/>
      <c r="E6" s="1561"/>
      <c r="F6" s="1561"/>
      <c r="G6" s="1561"/>
      <c r="H6" s="1561"/>
      <c r="I6" s="1562"/>
      <c r="L6" s="156">
        <v>4</v>
      </c>
      <c r="M6" s="593" t="s">
        <v>472</v>
      </c>
      <c r="P6" s="593" t="s">
        <v>1</v>
      </c>
      <c r="Q6" s="593" t="s">
        <v>1533</v>
      </c>
      <c r="R6" s="593" t="s">
        <v>2958</v>
      </c>
    </row>
    <row r="7" spans="1:18" ht="15" customHeight="1">
      <c r="C7" s="1559"/>
      <c r="D7" s="1569"/>
      <c r="E7" s="1569"/>
      <c r="F7" s="1569"/>
      <c r="G7" s="1569"/>
      <c r="H7" s="1569"/>
      <c r="I7" s="1570"/>
      <c r="L7" s="156">
        <v>5</v>
      </c>
      <c r="M7" s="593" t="s">
        <v>204</v>
      </c>
      <c r="P7" s="593" t="s">
        <v>340</v>
      </c>
      <c r="Q7" s="593" t="s">
        <v>1534</v>
      </c>
      <c r="R7" s="593" t="s">
        <v>2959</v>
      </c>
    </row>
    <row r="8" spans="1:18" ht="15" customHeight="1">
      <c r="A8" s="1468" t="str">
        <f>Uebersetzung!D493</f>
        <v>Wärmeerzeuger</v>
      </c>
      <c r="C8" s="1559"/>
      <c r="D8" s="1561"/>
      <c r="E8" s="1561"/>
      <c r="F8" s="1561"/>
      <c r="G8" s="1561"/>
      <c r="H8" s="1561"/>
      <c r="I8" s="1562"/>
      <c r="L8" s="156">
        <v>6</v>
      </c>
      <c r="M8" s="593" t="s">
        <v>473</v>
      </c>
      <c r="P8" s="593" t="s">
        <v>237</v>
      </c>
      <c r="Q8" s="593" t="s">
        <v>1535</v>
      </c>
      <c r="R8" s="593" t="s">
        <v>2960</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2961</v>
      </c>
    </row>
    <row r="10" spans="1:18" ht="15" customHeight="1">
      <c r="A10" s="593" t="str">
        <f>Uebersetzung!D495</f>
        <v>Erz. B</v>
      </c>
      <c r="C10" s="1581" t="str">
        <f>IF(Nachweis!M12&gt;1,INDEX($L$3:$M$50,Nachweis!M12,2),"")</f>
        <v/>
      </c>
      <c r="D10" s="1569">
        <f>IF(Nachweis!J12&gt;0,Nachweis!J12/100,0)</f>
        <v>0</v>
      </c>
      <c r="E10" s="1569">
        <f>IF(Nachweis!L12&gt;0,Nachweis!L12/100,0)</f>
        <v>0.2</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1536</v>
      </c>
      <c r="R10" s="593" t="s">
        <v>2962</v>
      </c>
    </row>
    <row r="11" spans="1:18" ht="15" customHeight="1">
      <c r="A11" s="593" t="str">
        <f>Uebersetzung!D496</f>
        <v>Erz. C</v>
      </c>
      <c r="C11" s="1581" t="str">
        <f>IF(Nachweis!M16&gt;1,INDEX($L$3:$M$50,Nachweis!M16,2),"")</f>
        <v/>
      </c>
      <c r="D11" s="1569">
        <f>IF(Nachweis!J16&gt;0,Nachweis!J16/100,0)</f>
        <v>0</v>
      </c>
      <c r="E11" s="1569">
        <f>IF(Nachweis!L16&gt;0,Nachweis!L16/100,0)</f>
        <v>0.8</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1537</v>
      </c>
      <c r="R11" s="593" t="s">
        <v>2963</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2964</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1538</v>
      </c>
      <c r="R13" s="593" t="s">
        <v>2965</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1539</v>
      </c>
      <c r="R14" s="593" t="s">
        <v>2966</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2934</v>
      </c>
      <c r="C17" s="1572">
        <f>IF(Eingaben!F16&lt;&gt;"",INDEX(P3:R15,Kategorie1,Uebersetzung!$A$1),"")</f>
        <v>0</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2482</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2482</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2482</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2482</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2482</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2482</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2482</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2482</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2534</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8" zoomScaleNormal="100" workbookViewId="0">
      <selection activeCell="D297" sqref="D297"/>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3070</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1680</v>
      </c>
      <c r="E12" s="945" t="s">
        <v>347</v>
      </c>
      <c r="F12" s="973" t="s">
        <v>1681</v>
      </c>
    </row>
    <row r="13" spans="2:6" s="2" customFormat="1" ht="26.1" customHeight="1">
      <c r="B13" s="934">
        <v>42623</v>
      </c>
      <c r="C13" s="939" t="s">
        <v>1700</v>
      </c>
      <c r="D13" s="938" t="s">
        <v>1701</v>
      </c>
      <c r="E13" s="945" t="s">
        <v>347</v>
      </c>
      <c r="F13" s="1000">
        <v>1.01</v>
      </c>
    </row>
    <row r="14" spans="2:6" s="2" customFormat="1" ht="26.1" customHeight="1">
      <c r="B14" s="934">
        <v>42626</v>
      </c>
      <c r="C14" s="939" t="s">
        <v>1709</v>
      </c>
      <c r="D14" s="938" t="s">
        <v>1710</v>
      </c>
      <c r="E14" s="935" t="s">
        <v>347</v>
      </c>
      <c r="F14" s="935">
        <v>1.01</v>
      </c>
    </row>
    <row r="15" spans="2:6" s="2" customFormat="1" ht="26.1" customHeight="1">
      <c r="B15" s="934">
        <v>42664</v>
      </c>
      <c r="C15" s="939" t="s">
        <v>1774</v>
      </c>
      <c r="E15" s="935" t="s">
        <v>347</v>
      </c>
      <c r="F15" s="935">
        <v>1.01</v>
      </c>
    </row>
    <row r="16" spans="2:6" s="2" customFormat="1" ht="26.1" customHeight="1">
      <c r="B16" s="934">
        <v>42684</v>
      </c>
      <c r="C16" s="939" t="s">
        <v>1869</v>
      </c>
      <c r="D16" s="938" t="s">
        <v>1870</v>
      </c>
      <c r="E16" s="1209" t="s">
        <v>347</v>
      </c>
      <c r="F16" s="935">
        <v>1.02</v>
      </c>
    </row>
    <row r="17" spans="2:6" s="2" customFormat="1" ht="26.1" customHeight="1">
      <c r="B17" s="934">
        <v>42684</v>
      </c>
      <c r="C17" s="939" t="s">
        <v>1937</v>
      </c>
      <c r="D17" s="938" t="s">
        <v>1938</v>
      </c>
      <c r="E17" s="935" t="s">
        <v>347</v>
      </c>
      <c r="F17" s="935">
        <v>1.03</v>
      </c>
    </row>
    <row r="18" spans="2:6" s="2" customFormat="1" ht="26.1" customHeight="1">
      <c r="B18" s="934">
        <v>42720</v>
      </c>
      <c r="C18" s="939" t="s">
        <v>2430</v>
      </c>
      <c r="D18" s="939" t="s">
        <v>2431</v>
      </c>
      <c r="E18" s="935" t="s">
        <v>347</v>
      </c>
      <c r="F18" s="935">
        <v>1.1000000000000001</v>
      </c>
    </row>
    <row r="19" spans="2:6" s="2" customFormat="1" ht="26.1" customHeight="1">
      <c r="B19" s="934">
        <v>42720</v>
      </c>
      <c r="C19" s="939" t="s">
        <v>2432</v>
      </c>
      <c r="D19" s="939" t="s">
        <v>2433</v>
      </c>
      <c r="E19" s="935" t="s">
        <v>347</v>
      </c>
      <c r="F19" s="935">
        <v>1.1000000000000001</v>
      </c>
    </row>
    <row r="20" spans="2:6" s="2" customFormat="1" ht="26.1" customHeight="1">
      <c r="B20" s="934">
        <v>42723</v>
      </c>
      <c r="C20" s="939" t="s">
        <v>2448</v>
      </c>
      <c r="D20" s="939" t="s">
        <v>2449</v>
      </c>
      <c r="E20" s="935" t="s">
        <v>347</v>
      </c>
      <c r="F20" s="935">
        <v>1.1100000000000001</v>
      </c>
    </row>
    <row r="21" spans="2:6" s="2" customFormat="1" ht="26.1" customHeight="1">
      <c r="B21" s="934">
        <v>42723</v>
      </c>
      <c r="C21" s="939" t="s">
        <v>2446</v>
      </c>
      <c r="D21" s="939" t="s">
        <v>2447</v>
      </c>
      <c r="E21" s="935" t="s">
        <v>347</v>
      </c>
      <c r="F21" s="935">
        <v>1.1100000000000001</v>
      </c>
    </row>
    <row r="22" spans="2:6" s="2" customFormat="1" ht="26.1" customHeight="1">
      <c r="B22" s="934">
        <v>42725</v>
      </c>
      <c r="C22" s="939" t="s">
        <v>2462</v>
      </c>
      <c r="D22" s="939" t="s">
        <v>2463</v>
      </c>
      <c r="E22" s="935" t="s">
        <v>347</v>
      </c>
      <c r="F22" s="935">
        <v>1.1299999999999999</v>
      </c>
    </row>
    <row r="23" spans="2:6" s="2" customFormat="1" ht="26.1" customHeight="1">
      <c r="B23" s="934">
        <v>42725</v>
      </c>
      <c r="C23" s="939" t="s">
        <v>2464</v>
      </c>
      <c r="D23" s="939" t="s">
        <v>2465</v>
      </c>
      <c r="E23" s="935" t="s">
        <v>347</v>
      </c>
      <c r="F23" s="935">
        <v>1.1299999999999999</v>
      </c>
    </row>
    <row r="24" spans="2:6" s="2" customFormat="1" ht="26.1" customHeight="1">
      <c r="B24" s="934">
        <v>42742</v>
      </c>
      <c r="C24" s="939" t="s">
        <v>2490</v>
      </c>
      <c r="D24" s="939" t="s">
        <v>2491</v>
      </c>
      <c r="E24" s="935" t="s">
        <v>347</v>
      </c>
      <c r="F24" s="935">
        <v>1.1399999999999999</v>
      </c>
    </row>
    <row r="25" spans="2:6" s="2" customFormat="1" ht="26.1" customHeight="1">
      <c r="B25" s="934">
        <v>42742</v>
      </c>
      <c r="C25" s="939" t="s">
        <v>2498</v>
      </c>
      <c r="D25" s="939" t="s">
        <v>2499</v>
      </c>
      <c r="E25" s="935" t="s">
        <v>347</v>
      </c>
      <c r="F25" s="935">
        <v>1.1399999999999999</v>
      </c>
    </row>
    <row r="26" spans="2:6" s="2" customFormat="1" ht="26.1" customHeight="1">
      <c r="B26" s="934">
        <v>42742</v>
      </c>
      <c r="C26" s="939" t="s">
        <v>2503</v>
      </c>
      <c r="D26" s="939"/>
      <c r="E26" s="935" t="s">
        <v>347</v>
      </c>
      <c r="F26" s="935">
        <v>1.1399999999999999</v>
      </c>
    </row>
    <row r="27" spans="2:6" s="2" customFormat="1" ht="26.1" customHeight="1">
      <c r="B27" s="934">
        <v>42742</v>
      </c>
      <c r="C27" s="939" t="s">
        <v>2500</v>
      </c>
      <c r="D27" s="939" t="s">
        <v>2501</v>
      </c>
      <c r="E27" s="935" t="s">
        <v>347</v>
      </c>
      <c r="F27" s="935">
        <v>1.1399999999999999</v>
      </c>
    </row>
    <row r="28" spans="2:6" s="2" customFormat="1" ht="26.1" customHeight="1">
      <c r="B28" s="934">
        <v>42742</v>
      </c>
      <c r="C28" s="939" t="s">
        <v>2502</v>
      </c>
      <c r="D28" s="939"/>
      <c r="E28" s="935" t="s">
        <v>347</v>
      </c>
      <c r="F28" s="935">
        <v>1.1399999999999999</v>
      </c>
    </row>
    <row r="29" spans="2:6" s="2" customFormat="1" ht="26.1" customHeight="1">
      <c r="B29" s="934">
        <v>42742</v>
      </c>
      <c r="C29" s="939" t="s">
        <v>2504</v>
      </c>
      <c r="D29" s="939" t="s">
        <v>2505</v>
      </c>
      <c r="E29" s="935" t="s">
        <v>347</v>
      </c>
      <c r="F29" s="935">
        <v>1.1399999999999999</v>
      </c>
    </row>
    <row r="30" spans="2:6" s="2" customFormat="1" ht="26.1" customHeight="1">
      <c r="B30" s="934">
        <v>42742</v>
      </c>
      <c r="C30" s="939" t="s">
        <v>2506</v>
      </c>
      <c r="D30" s="939" t="s">
        <v>2505</v>
      </c>
      <c r="E30" s="935" t="s">
        <v>347</v>
      </c>
      <c r="F30" s="935">
        <v>1.1399999999999999</v>
      </c>
    </row>
    <row r="31" spans="2:6" s="2" customFormat="1" ht="26.1" customHeight="1">
      <c r="B31" s="934">
        <v>42742</v>
      </c>
      <c r="C31" s="939" t="s">
        <v>2507</v>
      </c>
      <c r="D31" s="939" t="s">
        <v>2508</v>
      </c>
      <c r="E31" s="935" t="s">
        <v>347</v>
      </c>
      <c r="F31" s="935">
        <v>1.1399999999999999</v>
      </c>
    </row>
    <row r="32" spans="2:6" s="2" customFormat="1" ht="26.1" customHeight="1">
      <c r="B32" s="934">
        <v>42742</v>
      </c>
      <c r="C32" s="939" t="s">
        <v>2518</v>
      </c>
      <c r="D32" s="939" t="s">
        <v>2517</v>
      </c>
      <c r="E32" s="935" t="s">
        <v>347</v>
      </c>
      <c r="F32" s="935">
        <v>1.1399999999999999</v>
      </c>
    </row>
    <row r="33" spans="2:6" s="2" customFormat="1" ht="26.1" customHeight="1">
      <c r="B33" s="934">
        <v>42742</v>
      </c>
      <c r="C33" s="939" t="s">
        <v>2520</v>
      </c>
      <c r="D33" s="939" t="s">
        <v>2521</v>
      </c>
      <c r="E33" s="935" t="s">
        <v>347</v>
      </c>
      <c r="F33" s="935">
        <v>1.1399999999999999</v>
      </c>
    </row>
    <row r="34" spans="2:6" s="2" customFormat="1" ht="26.1" customHeight="1">
      <c r="B34" s="934">
        <v>42742</v>
      </c>
      <c r="C34" s="939" t="s">
        <v>2522</v>
      </c>
      <c r="D34" s="939" t="s">
        <v>2523</v>
      </c>
      <c r="E34" s="935" t="s">
        <v>347</v>
      </c>
      <c r="F34" s="935">
        <v>1.1499999999999999</v>
      </c>
    </row>
    <row r="35" spans="2:6" s="2" customFormat="1" ht="26.1" customHeight="1">
      <c r="B35" s="934">
        <v>42742</v>
      </c>
      <c r="C35" s="939" t="s">
        <v>2524</v>
      </c>
      <c r="D35" s="939" t="s">
        <v>2525</v>
      </c>
      <c r="E35" s="935" t="s">
        <v>347</v>
      </c>
      <c r="F35" s="935">
        <v>1.1599999999999999</v>
      </c>
    </row>
    <row r="36" spans="2:6" s="2" customFormat="1" ht="26.1" customHeight="1">
      <c r="B36" s="934">
        <v>42762</v>
      </c>
      <c r="C36" s="939" t="s">
        <v>2527</v>
      </c>
      <c r="D36" s="939" t="s">
        <v>2526</v>
      </c>
      <c r="E36" s="935" t="s">
        <v>347</v>
      </c>
      <c r="F36" s="935">
        <v>1.17</v>
      </c>
    </row>
    <row r="37" spans="2:6" s="2" customFormat="1" ht="26.1" customHeight="1">
      <c r="B37" s="934">
        <v>42766</v>
      </c>
      <c r="C37" s="939" t="s">
        <v>2528</v>
      </c>
      <c r="D37" s="939" t="s">
        <v>2529</v>
      </c>
      <c r="E37" s="935" t="s">
        <v>347</v>
      </c>
      <c r="F37" s="935">
        <v>1.18</v>
      </c>
    </row>
    <row r="38" spans="2:6" s="2" customFormat="1" ht="26.1" customHeight="1">
      <c r="B38" s="934">
        <v>42768</v>
      </c>
      <c r="C38" s="939" t="s">
        <v>2530</v>
      </c>
      <c r="D38" s="939" t="s">
        <v>2531</v>
      </c>
      <c r="E38" s="935" t="s">
        <v>347</v>
      </c>
      <c r="F38" s="935">
        <v>1.19</v>
      </c>
    </row>
    <row r="39" spans="2:6" s="2" customFormat="1" ht="26.1" customHeight="1">
      <c r="B39" s="934">
        <v>42768</v>
      </c>
      <c r="C39" s="939" t="s">
        <v>2535</v>
      </c>
      <c r="D39" s="939" t="s">
        <v>2536</v>
      </c>
      <c r="E39" s="935" t="s">
        <v>347</v>
      </c>
      <c r="F39" s="935">
        <v>1.19</v>
      </c>
    </row>
    <row r="40" spans="2:6" s="2" customFormat="1" ht="26.1" customHeight="1">
      <c r="B40" s="934">
        <v>42768</v>
      </c>
      <c r="C40" s="939" t="s">
        <v>2550</v>
      </c>
      <c r="D40" s="939" t="s">
        <v>2551</v>
      </c>
      <c r="E40" s="935" t="s">
        <v>347</v>
      </c>
      <c r="F40" s="935">
        <v>1.19</v>
      </c>
    </row>
    <row r="41" spans="2:6" s="2" customFormat="1" ht="26.1" customHeight="1">
      <c r="B41" s="934">
        <v>42768</v>
      </c>
      <c r="C41" s="939" t="s">
        <v>2552</v>
      </c>
      <c r="D41" s="939" t="s">
        <v>2551</v>
      </c>
      <c r="E41" s="935" t="s">
        <v>347</v>
      </c>
      <c r="F41" s="935">
        <v>1.19</v>
      </c>
    </row>
    <row r="42" spans="2:6" s="2" customFormat="1" ht="26.1" customHeight="1">
      <c r="B42" s="934">
        <v>42768</v>
      </c>
      <c r="C42" s="939" t="s">
        <v>2553</v>
      </c>
      <c r="D42" s="939" t="s">
        <v>2554</v>
      </c>
      <c r="E42" s="935" t="s">
        <v>347</v>
      </c>
      <c r="F42" s="935">
        <v>1.19</v>
      </c>
    </row>
    <row r="43" spans="2:6" s="2" customFormat="1" ht="26.1" customHeight="1">
      <c r="B43" s="934">
        <v>42768</v>
      </c>
      <c r="C43" s="939" t="s">
        <v>2555</v>
      </c>
      <c r="D43" s="939" t="s">
        <v>2556</v>
      </c>
      <c r="E43" s="935" t="s">
        <v>347</v>
      </c>
      <c r="F43" s="935">
        <v>1.19</v>
      </c>
    </row>
    <row r="44" spans="2:6" s="2" customFormat="1" ht="26.1" customHeight="1">
      <c r="B44" s="934">
        <v>42770</v>
      </c>
      <c r="C44" s="939" t="s">
        <v>2561</v>
      </c>
      <c r="D44" s="939" t="s">
        <v>2562</v>
      </c>
      <c r="E44" s="935" t="s">
        <v>347</v>
      </c>
      <c r="F44" s="935">
        <v>1.2</v>
      </c>
    </row>
    <row r="45" spans="2:6" s="2" customFormat="1" ht="26.1" customHeight="1">
      <c r="B45" s="934">
        <v>42819</v>
      </c>
      <c r="C45" s="939" t="s">
        <v>2618</v>
      </c>
      <c r="D45" s="939" t="s">
        <v>2619</v>
      </c>
      <c r="E45" s="935" t="s">
        <v>347</v>
      </c>
      <c r="F45" s="935">
        <v>1.21</v>
      </c>
    </row>
    <row r="46" spans="2:6" s="2" customFormat="1" ht="26.1" customHeight="1">
      <c r="B46" s="934">
        <v>42819</v>
      </c>
      <c r="C46" s="939" t="s">
        <v>2620</v>
      </c>
      <c r="D46" s="939" t="s">
        <v>2621</v>
      </c>
      <c r="E46" s="935" t="s">
        <v>347</v>
      </c>
      <c r="F46" s="935">
        <v>1.21</v>
      </c>
    </row>
    <row r="47" spans="2:6" s="2" customFormat="1" ht="26.1" customHeight="1">
      <c r="B47" s="934">
        <v>42819</v>
      </c>
      <c r="C47" s="939" t="s">
        <v>2624</v>
      </c>
      <c r="D47" s="939" t="s">
        <v>2622</v>
      </c>
      <c r="E47" s="935" t="s">
        <v>347</v>
      </c>
      <c r="F47" s="935">
        <v>1.21</v>
      </c>
    </row>
    <row r="48" spans="2:6" s="2" customFormat="1" ht="26.1" customHeight="1">
      <c r="B48" s="934">
        <v>42819</v>
      </c>
      <c r="C48" s="939" t="s">
        <v>2623</v>
      </c>
      <c r="D48" s="939" t="s">
        <v>2626</v>
      </c>
      <c r="E48" s="935" t="s">
        <v>347</v>
      </c>
      <c r="F48" s="935">
        <v>1.21</v>
      </c>
    </row>
    <row r="49" spans="2:6" s="2" customFormat="1" ht="26.1" customHeight="1">
      <c r="B49" s="934">
        <v>42819</v>
      </c>
      <c r="C49" s="939" t="s">
        <v>2625</v>
      </c>
      <c r="D49" s="939" t="s">
        <v>2627</v>
      </c>
      <c r="E49" s="935" t="s">
        <v>347</v>
      </c>
      <c r="F49" s="935">
        <v>1.21</v>
      </c>
    </row>
    <row r="50" spans="2:6" s="2" customFormat="1" ht="26.1" customHeight="1">
      <c r="B50" s="934">
        <v>42819</v>
      </c>
      <c r="C50" s="939" t="s">
        <v>2628</v>
      </c>
      <c r="E50" s="935" t="s">
        <v>347</v>
      </c>
      <c r="F50" s="935">
        <v>1.21</v>
      </c>
    </row>
    <row r="51" spans="2:6" s="2" customFormat="1" ht="26.1" customHeight="1">
      <c r="B51" s="934">
        <v>42819</v>
      </c>
      <c r="C51" s="939" t="s">
        <v>2629</v>
      </c>
      <c r="D51" s="938" t="s">
        <v>2630</v>
      </c>
      <c r="E51" s="935" t="s">
        <v>347</v>
      </c>
      <c r="F51" s="935">
        <v>1.21</v>
      </c>
    </row>
    <row r="52" spans="2:6" s="2" customFormat="1" ht="26.1" customHeight="1">
      <c r="B52" s="934">
        <v>42819</v>
      </c>
      <c r="C52" s="939" t="s">
        <v>2631</v>
      </c>
      <c r="D52" s="938" t="s">
        <v>2632</v>
      </c>
      <c r="E52" s="935" t="s">
        <v>347</v>
      </c>
      <c r="F52" s="935">
        <v>1.21</v>
      </c>
    </row>
    <row r="53" spans="2:6" s="2" customFormat="1" ht="26.1" customHeight="1">
      <c r="B53" s="934">
        <v>42819</v>
      </c>
      <c r="C53" s="939" t="s">
        <v>2633</v>
      </c>
      <c r="D53" s="938" t="s">
        <v>2634</v>
      </c>
      <c r="E53" s="935" t="s">
        <v>347</v>
      </c>
      <c r="F53" s="935">
        <v>1.21</v>
      </c>
    </row>
    <row r="54" spans="2:6" s="2" customFormat="1" ht="26.1" customHeight="1">
      <c r="B54" s="934">
        <v>42819</v>
      </c>
      <c r="C54" s="939" t="s">
        <v>2635</v>
      </c>
      <c r="D54" s="938" t="s">
        <v>2636</v>
      </c>
      <c r="E54" s="935" t="s">
        <v>347</v>
      </c>
      <c r="F54" s="935">
        <v>1.21</v>
      </c>
    </row>
    <row r="55" spans="2:6" s="2" customFormat="1" ht="26.1" customHeight="1">
      <c r="B55" s="934">
        <v>42819</v>
      </c>
      <c r="C55" s="939" t="s">
        <v>2637</v>
      </c>
      <c r="D55" s="939" t="s">
        <v>2638</v>
      </c>
      <c r="E55" s="935" t="s">
        <v>347</v>
      </c>
      <c r="F55" s="935">
        <v>1.21</v>
      </c>
    </row>
    <row r="56" spans="2:6" s="2" customFormat="1" ht="26.1" customHeight="1">
      <c r="B56" s="934">
        <v>42819</v>
      </c>
      <c r="C56" s="939" t="s">
        <v>2639</v>
      </c>
      <c r="D56" s="939" t="s">
        <v>2640</v>
      </c>
      <c r="E56" s="935" t="s">
        <v>347</v>
      </c>
      <c r="F56" s="935">
        <v>1.21</v>
      </c>
    </row>
    <row r="57" spans="2:6" s="2" customFormat="1" ht="26.1" customHeight="1">
      <c r="B57" s="934">
        <v>42819</v>
      </c>
      <c r="C57" s="939" t="s">
        <v>2641</v>
      </c>
      <c r="D57" s="939" t="s">
        <v>2642</v>
      </c>
      <c r="E57" s="935" t="s">
        <v>347</v>
      </c>
      <c r="F57" s="935">
        <v>1.21</v>
      </c>
    </row>
    <row r="58" spans="2:6" s="2" customFormat="1" ht="26.1" customHeight="1">
      <c r="B58" s="934">
        <v>42830</v>
      </c>
      <c r="C58" s="939" t="s">
        <v>2705</v>
      </c>
      <c r="D58" s="939" t="s">
        <v>2702</v>
      </c>
      <c r="E58" s="935" t="s">
        <v>347</v>
      </c>
      <c r="F58" s="935">
        <v>1.23</v>
      </c>
    </row>
    <row r="59" spans="2:6" s="2" customFormat="1" ht="26.1" customHeight="1">
      <c r="B59" s="934">
        <v>42835</v>
      </c>
      <c r="C59" s="939" t="s">
        <v>2704</v>
      </c>
      <c r="D59" s="939" t="s">
        <v>2706</v>
      </c>
      <c r="E59" s="935" t="s">
        <v>347</v>
      </c>
      <c r="F59" s="935">
        <v>1.24</v>
      </c>
    </row>
    <row r="60" spans="2:6" s="2" customFormat="1" ht="26.1" customHeight="1">
      <c r="B60" s="934">
        <v>42835</v>
      </c>
      <c r="C60" s="939" t="s">
        <v>2707</v>
      </c>
      <c r="E60" s="935" t="s">
        <v>347</v>
      </c>
      <c r="F60" s="935">
        <v>1.24</v>
      </c>
    </row>
    <row r="61" spans="2:6" s="2" customFormat="1" ht="26.1" customHeight="1">
      <c r="B61" s="934">
        <v>42837</v>
      </c>
      <c r="C61" s="939" t="s">
        <v>2708</v>
      </c>
      <c r="D61" s="2" t="s">
        <v>2709</v>
      </c>
      <c r="E61" s="935" t="s">
        <v>347</v>
      </c>
      <c r="F61" s="935">
        <v>1.25</v>
      </c>
    </row>
    <row r="62" spans="2:6" s="2" customFormat="1" ht="26.1" customHeight="1">
      <c r="B62" s="934">
        <v>42861</v>
      </c>
      <c r="C62" s="939" t="s">
        <v>2880</v>
      </c>
      <c r="D62" s="938" t="s">
        <v>2879</v>
      </c>
      <c r="E62" s="935" t="s">
        <v>347</v>
      </c>
      <c r="F62" s="935">
        <v>1.26</v>
      </c>
    </row>
    <row r="63" spans="2:6" s="2" customFormat="1" ht="26.1" customHeight="1">
      <c r="B63" s="934">
        <v>42861</v>
      </c>
      <c r="C63" s="939" t="s">
        <v>2881</v>
      </c>
      <c r="D63" s="938" t="s">
        <v>2879</v>
      </c>
      <c r="E63" s="935" t="s">
        <v>347</v>
      </c>
      <c r="F63" s="935">
        <v>1.26</v>
      </c>
    </row>
    <row r="64" spans="2:6" s="2" customFormat="1" ht="26.1" customHeight="1">
      <c r="B64" s="934">
        <v>42861</v>
      </c>
      <c r="C64" s="939" t="s">
        <v>2882</v>
      </c>
      <c r="D64" s="939" t="s">
        <v>2883</v>
      </c>
      <c r="E64" s="935" t="s">
        <v>347</v>
      </c>
      <c r="F64" s="935">
        <v>1.26</v>
      </c>
    </row>
    <row r="65" spans="2:6" s="2" customFormat="1" ht="26.1" customHeight="1">
      <c r="B65" s="934">
        <v>42861</v>
      </c>
      <c r="C65" s="939" t="s">
        <v>2884</v>
      </c>
      <c r="D65" s="938"/>
      <c r="E65" s="935" t="s">
        <v>347</v>
      </c>
      <c r="F65" s="935">
        <v>1.26</v>
      </c>
    </row>
    <row r="66" spans="2:6" s="2" customFormat="1" ht="26.1" customHeight="1">
      <c r="B66" s="934">
        <v>42861</v>
      </c>
      <c r="C66" s="939" t="s">
        <v>2885</v>
      </c>
      <c r="D66" s="938" t="s">
        <v>2886</v>
      </c>
      <c r="E66" s="935" t="s">
        <v>347</v>
      </c>
      <c r="F66" s="935">
        <v>1.26</v>
      </c>
    </row>
    <row r="67" spans="2:6" s="2" customFormat="1" ht="26.1" customHeight="1">
      <c r="B67" s="934">
        <v>42861</v>
      </c>
      <c r="C67" s="939" t="s">
        <v>2887</v>
      </c>
      <c r="D67" s="938" t="s">
        <v>2888</v>
      </c>
      <c r="E67" s="935" t="s">
        <v>347</v>
      </c>
      <c r="F67" s="935">
        <v>1.26</v>
      </c>
    </row>
    <row r="68" spans="2:6" s="2" customFormat="1" ht="26.1" customHeight="1">
      <c r="B68" s="934">
        <v>42861</v>
      </c>
      <c r="C68" s="939" t="s">
        <v>2889</v>
      </c>
      <c r="D68" s="939" t="s">
        <v>2890</v>
      </c>
      <c r="E68" s="935" t="s">
        <v>347</v>
      </c>
      <c r="F68" s="935">
        <v>1.26</v>
      </c>
    </row>
    <row r="69" spans="2:6" s="2" customFormat="1" ht="26.1" customHeight="1">
      <c r="B69" s="934">
        <v>42861</v>
      </c>
      <c r="C69" s="939" t="s">
        <v>2908</v>
      </c>
      <c r="D69" s="939" t="s">
        <v>2909</v>
      </c>
      <c r="E69" s="935" t="s">
        <v>347</v>
      </c>
      <c r="F69" s="935">
        <v>1.26</v>
      </c>
    </row>
    <row r="70" spans="2:6" s="2" customFormat="1" ht="26.1" customHeight="1">
      <c r="B70" s="934">
        <v>42861</v>
      </c>
      <c r="C70" s="939" t="s">
        <v>2911</v>
      </c>
      <c r="D70" s="939" t="s">
        <v>2910</v>
      </c>
      <c r="E70" s="935" t="s">
        <v>347</v>
      </c>
      <c r="F70" s="935">
        <v>1.26</v>
      </c>
    </row>
    <row r="71" spans="2:6" s="2" customFormat="1" ht="26.1" customHeight="1">
      <c r="B71" s="934">
        <v>42881</v>
      </c>
      <c r="C71" s="939" t="s">
        <v>2912</v>
      </c>
      <c r="D71" s="939" t="s">
        <v>2913</v>
      </c>
      <c r="E71" s="935" t="s">
        <v>347</v>
      </c>
      <c r="F71" s="935">
        <v>1.27</v>
      </c>
    </row>
    <row r="72" spans="2:6" s="2" customFormat="1" ht="26.1" customHeight="1">
      <c r="B72" s="934">
        <v>42881</v>
      </c>
      <c r="C72" s="939" t="s">
        <v>2915</v>
      </c>
      <c r="D72" s="939" t="s">
        <v>2914</v>
      </c>
      <c r="E72" s="935" t="s">
        <v>347</v>
      </c>
      <c r="F72" s="935">
        <v>1.27</v>
      </c>
    </row>
    <row r="73" spans="2:6" s="2" customFormat="1" ht="26.1" customHeight="1">
      <c r="B73" s="934">
        <v>42881</v>
      </c>
      <c r="C73" s="939" t="s">
        <v>2916</v>
      </c>
      <c r="D73" s="939" t="s">
        <v>2917</v>
      </c>
      <c r="E73" s="935" t="s">
        <v>347</v>
      </c>
      <c r="F73" s="935">
        <v>1.27</v>
      </c>
    </row>
    <row r="74" spans="2:6" s="2" customFormat="1" ht="26.1" customHeight="1">
      <c r="B74" s="934">
        <v>42881</v>
      </c>
      <c r="C74" s="939" t="s">
        <v>2919</v>
      </c>
      <c r="D74" s="939" t="s">
        <v>2918</v>
      </c>
      <c r="E74" s="935" t="s">
        <v>347</v>
      </c>
      <c r="F74" s="935">
        <v>1.27</v>
      </c>
    </row>
    <row r="75" spans="2:6" s="2" customFormat="1" ht="26.1" customHeight="1">
      <c r="B75" s="934">
        <v>42881</v>
      </c>
      <c r="C75" s="939" t="s">
        <v>2920</v>
      </c>
      <c r="D75" s="939" t="s">
        <v>2921</v>
      </c>
      <c r="E75" s="935" t="s">
        <v>347</v>
      </c>
      <c r="F75" s="935">
        <v>1.27</v>
      </c>
    </row>
    <row r="76" spans="2:6" s="2" customFormat="1" ht="26.1" customHeight="1">
      <c r="B76" s="934">
        <v>42881</v>
      </c>
      <c r="C76" s="939" t="s">
        <v>2922</v>
      </c>
      <c r="D76" s="939" t="s">
        <v>2923</v>
      </c>
      <c r="E76" s="935" t="s">
        <v>347</v>
      </c>
      <c r="F76" s="935">
        <v>1.27</v>
      </c>
    </row>
    <row r="77" spans="2:6" s="2" customFormat="1" ht="26.1" customHeight="1">
      <c r="B77" s="934">
        <v>42881</v>
      </c>
      <c r="C77" s="939" t="s">
        <v>2924</v>
      </c>
      <c r="D77" s="939" t="s">
        <v>2925</v>
      </c>
      <c r="E77" s="935" t="s">
        <v>347</v>
      </c>
      <c r="F77" s="935">
        <v>1.27</v>
      </c>
    </row>
    <row r="78" spans="2:6" s="2" customFormat="1" ht="26.1" customHeight="1">
      <c r="B78" s="934">
        <v>42887</v>
      </c>
      <c r="C78" s="939" t="s">
        <v>2927</v>
      </c>
      <c r="D78" s="939" t="s">
        <v>2928</v>
      </c>
      <c r="E78" s="935" t="s">
        <v>347</v>
      </c>
      <c r="F78" s="935">
        <v>1.28</v>
      </c>
    </row>
    <row r="79" spans="2:6" s="2" customFormat="1" ht="26.1" customHeight="1">
      <c r="B79" s="934">
        <v>42934</v>
      </c>
      <c r="C79" s="939" t="s">
        <v>3000</v>
      </c>
      <c r="D79" s="939"/>
      <c r="E79" s="935" t="s">
        <v>347</v>
      </c>
      <c r="F79" s="935">
        <v>1.29</v>
      </c>
    </row>
    <row r="80" spans="2:6" s="2" customFormat="1" ht="26.1" customHeight="1">
      <c r="B80" s="940">
        <v>42954</v>
      </c>
      <c r="C80" s="939" t="s">
        <v>3024</v>
      </c>
      <c r="D80" s="939"/>
      <c r="E80" s="935" t="s">
        <v>347</v>
      </c>
      <c r="F80" s="935">
        <v>1.29</v>
      </c>
    </row>
    <row r="81" spans="2:6" s="2" customFormat="1" ht="26.1" customHeight="1">
      <c r="B81" s="940">
        <v>42955</v>
      </c>
      <c r="C81" s="939" t="s">
        <v>3027</v>
      </c>
      <c r="D81" s="939" t="s">
        <v>3028</v>
      </c>
      <c r="E81" s="935" t="s">
        <v>347</v>
      </c>
      <c r="F81" s="935">
        <v>1.29</v>
      </c>
    </row>
    <row r="82" spans="2:6" s="2" customFormat="1" ht="26.1" customHeight="1">
      <c r="B82" s="940">
        <v>42959</v>
      </c>
      <c r="C82" s="939" t="s">
        <v>3029</v>
      </c>
      <c r="D82" s="939" t="s">
        <v>3030</v>
      </c>
      <c r="E82" s="935" t="s">
        <v>347</v>
      </c>
      <c r="F82" s="935">
        <v>1.29</v>
      </c>
    </row>
    <row r="83" spans="2:6" s="2" customFormat="1" ht="26.1" customHeight="1">
      <c r="B83" s="940">
        <v>42959</v>
      </c>
      <c r="C83" s="939" t="s">
        <v>3031</v>
      </c>
      <c r="D83" s="939" t="s">
        <v>3032</v>
      </c>
      <c r="E83" s="935" t="s">
        <v>347</v>
      </c>
      <c r="F83" s="935">
        <v>1.29</v>
      </c>
    </row>
    <row r="84" spans="2:6" s="2" customFormat="1" ht="26.1" customHeight="1">
      <c r="B84" s="940">
        <v>42959</v>
      </c>
      <c r="C84" s="939" t="s">
        <v>3033</v>
      </c>
      <c r="D84" s="939" t="s">
        <v>3034</v>
      </c>
      <c r="E84" s="935" t="s">
        <v>347</v>
      </c>
      <c r="F84" s="935">
        <v>1.29</v>
      </c>
    </row>
    <row r="85" spans="2:6" s="2" customFormat="1" ht="26.1" customHeight="1">
      <c r="B85" s="940">
        <v>42962</v>
      </c>
      <c r="C85" s="939" t="s">
        <v>3040</v>
      </c>
      <c r="D85" s="939" t="s">
        <v>3041</v>
      </c>
      <c r="E85" s="935" t="s">
        <v>347</v>
      </c>
      <c r="F85" s="973" t="s">
        <v>3039</v>
      </c>
    </row>
    <row r="86" spans="2:6" s="2" customFormat="1" ht="26.1" customHeight="1">
      <c r="B86" s="940">
        <v>42962</v>
      </c>
      <c r="C86" s="939" t="s">
        <v>3042</v>
      </c>
      <c r="D86" s="939" t="s">
        <v>3043</v>
      </c>
      <c r="E86" s="935" t="s">
        <v>347</v>
      </c>
      <c r="F86" s="973" t="s">
        <v>3039</v>
      </c>
    </row>
    <row r="87" spans="2:6" s="2" customFormat="1" ht="26.1" customHeight="1">
      <c r="B87" s="940">
        <v>42965</v>
      </c>
      <c r="C87" s="939" t="s">
        <v>3044</v>
      </c>
      <c r="D87" s="939" t="s">
        <v>3045</v>
      </c>
      <c r="E87" s="935" t="s">
        <v>347</v>
      </c>
      <c r="F87" s="973" t="s">
        <v>3039</v>
      </c>
    </row>
    <row r="88" spans="2:6" s="2" customFormat="1" ht="26.1" customHeight="1">
      <c r="B88" s="940">
        <v>42965</v>
      </c>
      <c r="C88" s="939" t="s">
        <v>3050</v>
      </c>
      <c r="D88" s="939" t="s">
        <v>3051</v>
      </c>
      <c r="E88" s="935" t="s">
        <v>347</v>
      </c>
      <c r="F88" s="973" t="s">
        <v>3039</v>
      </c>
    </row>
    <row r="89" spans="2:6" s="2" customFormat="1" ht="26.1" customHeight="1">
      <c r="B89" s="940">
        <v>42966</v>
      </c>
      <c r="C89" s="939" t="s">
        <v>3053</v>
      </c>
      <c r="D89" s="939" t="s">
        <v>3054</v>
      </c>
      <c r="E89" s="935" t="s">
        <v>347</v>
      </c>
      <c r="F89" s="973" t="s">
        <v>3052</v>
      </c>
    </row>
    <row r="90" spans="2:6" s="2" customFormat="1" ht="26.1" customHeight="1">
      <c r="B90" s="940">
        <v>42966</v>
      </c>
      <c r="C90" s="939" t="s">
        <v>3056</v>
      </c>
      <c r="D90" s="939" t="s">
        <v>3055</v>
      </c>
      <c r="E90" s="935" t="s">
        <v>347</v>
      </c>
      <c r="F90" s="973" t="s">
        <v>3052</v>
      </c>
    </row>
    <row r="91" spans="2:6" s="2" customFormat="1" ht="26.1" customHeight="1">
      <c r="B91" s="940">
        <v>42966</v>
      </c>
      <c r="C91" s="939" t="s">
        <v>3057</v>
      </c>
      <c r="D91" s="939" t="s">
        <v>3058</v>
      </c>
      <c r="E91" s="935" t="s">
        <v>347</v>
      </c>
      <c r="F91" s="973" t="s">
        <v>3052</v>
      </c>
    </row>
    <row r="92" spans="2:6" s="2" customFormat="1" ht="26.1" customHeight="1">
      <c r="B92" s="1615">
        <v>42966</v>
      </c>
      <c r="C92" s="1614" t="s">
        <v>3062</v>
      </c>
      <c r="D92" s="1614" t="s">
        <v>3059</v>
      </c>
      <c r="E92" s="1613" t="s">
        <v>347</v>
      </c>
      <c r="F92" s="1616" t="s">
        <v>3052</v>
      </c>
    </row>
    <row r="93" spans="2:6" s="2" customFormat="1" ht="26.1" customHeight="1">
      <c r="B93" s="1615">
        <v>42966</v>
      </c>
      <c r="C93" s="1614" t="s">
        <v>3060</v>
      </c>
      <c r="D93" s="1614" t="s">
        <v>3059</v>
      </c>
      <c r="E93" s="1613" t="s">
        <v>347</v>
      </c>
      <c r="F93" s="1616" t="s">
        <v>3052</v>
      </c>
    </row>
    <row r="94" spans="2:6" s="2" customFormat="1" ht="26.1" customHeight="1">
      <c r="B94" s="1615">
        <v>42966</v>
      </c>
      <c r="C94" s="1614" t="s">
        <v>3061</v>
      </c>
      <c r="D94" s="1614" t="s">
        <v>3059</v>
      </c>
      <c r="E94" s="1613" t="s">
        <v>347</v>
      </c>
      <c r="F94" s="1616" t="s">
        <v>3052</v>
      </c>
    </row>
    <row r="95" spans="2:6" s="2" customFormat="1" ht="26.1" customHeight="1">
      <c r="B95" s="1615">
        <v>42972</v>
      </c>
      <c r="C95" s="1614" t="s">
        <v>3067</v>
      </c>
      <c r="D95" s="1614" t="s">
        <v>3066</v>
      </c>
      <c r="E95" s="1613" t="s">
        <v>347</v>
      </c>
      <c r="F95" s="1616" t="s">
        <v>3052</v>
      </c>
    </row>
    <row r="96" spans="2:6" s="2" customFormat="1" ht="26.1" customHeight="1">
      <c r="B96" s="1615">
        <v>42972</v>
      </c>
      <c r="C96" s="1614" t="s">
        <v>3068</v>
      </c>
      <c r="D96" s="1614" t="s">
        <v>3069</v>
      </c>
      <c r="E96" s="1613" t="s">
        <v>347</v>
      </c>
      <c r="F96" s="1616" t="s">
        <v>3052</v>
      </c>
    </row>
    <row r="97" spans="2:6" s="2" customFormat="1" ht="26.1" customHeight="1">
      <c r="B97" s="934">
        <v>42984</v>
      </c>
      <c r="C97" s="2" t="s">
        <v>3073</v>
      </c>
      <c r="D97" s="2" t="s">
        <v>3074</v>
      </c>
      <c r="E97" s="935" t="s">
        <v>347</v>
      </c>
      <c r="F97" s="935" t="s">
        <v>3052</v>
      </c>
    </row>
    <row r="98" spans="2:6" s="2" customFormat="1" ht="26.1" customHeight="1">
      <c r="B98" s="934">
        <v>43068</v>
      </c>
      <c r="C98" s="2" t="s">
        <v>3076</v>
      </c>
      <c r="D98" s="2" t="s">
        <v>3075</v>
      </c>
      <c r="E98" s="1613" t="s">
        <v>347</v>
      </c>
      <c r="F98" s="1613">
        <v>1.32</v>
      </c>
    </row>
    <row r="99" spans="2:6" s="2" customFormat="1" ht="26.1" customHeight="1">
      <c r="B99" s="934">
        <v>43070</v>
      </c>
      <c r="C99" s="1614" t="s">
        <v>3090</v>
      </c>
      <c r="D99" s="1614" t="s">
        <v>3089</v>
      </c>
      <c r="E99" s="1613" t="s">
        <v>347</v>
      </c>
      <c r="F99" s="1613">
        <v>1.32</v>
      </c>
    </row>
    <row r="100" spans="2:6" s="2" customFormat="1" ht="26.1" customHeight="1">
      <c r="B100" s="934">
        <v>43071</v>
      </c>
      <c r="C100" s="1614" t="s">
        <v>3092</v>
      </c>
      <c r="D100" s="1614" t="s">
        <v>3091</v>
      </c>
      <c r="E100" s="1613" t="s">
        <v>347</v>
      </c>
      <c r="F100" s="1613">
        <v>1.32</v>
      </c>
    </row>
    <row r="101" spans="2:6" s="2" customFormat="1" ht="26.1" customHeight="1">
      <c r="B101" s="934">
        <v>43071</v>
      </c>
      <c r="C101" s="1614" t="s">
        <v>3099</v>
      </c>
      <c r="D101" s="1614" t="s">
        <v>3098</v>
      </c>
      <c r="E101" s="1613" t="s">
        <v>347</v>
      </c>
      <c r="F101" s="1613">
        <v>1.32</v>
      </c>
    </row>
    <row r="102" spans="2:6" s="2" customFormat="1" ht="26.1" customHeight="1">
      <c r="B102" s="934">
        <v>43071</v>
      </c>
      <c r="C102" s="1614" t="s">
        <v>3100</v>
      </c>
      <c r="D102" s="1614" t="s">
        <v>3101</v>
      </c>
      <c r="E102" s="1613" t="s">
        <v>347</v>
      </c>
      <c r="F102" s="1613">
        <v>1.32</v>
      </c>
    </row>
    <row r="103" spans="2:6" s="2" customFormat="1" ht="26.1" customHeight="1">
      <c r="B103" s="934">
        <v>43071</v>
      </c>
      <c r="C103" s="1614" t="s">
        <v>3102</v>
      </c>
      <c r="D103" s="1614" t="s">
        <v>3103</v>
      </c>
      <c r="E103" s="1613" t="s">
        <v>347</v>
      </c>
      <c r="F103" s="1613">
        <v>1.32</v>
      </c>
    </row>
    <row r="104" spans="2:6" s="2" customFormat="1" ht="26.1" customHeight="1">
      <c r="B104" s="934">
        <v>43071</v>
      </c>
      <c r="C104" s="1614" t="s">
        <v>3104</v>
      </c>
      <c r="D104" s="1614" t="s">
        <v>3105</v>
      </c>
      <c r="E104" s="1613" t="s">
        <v>347</v>
      </c>
      <c r="F104" s="1613">
        <v>1.32</v>
      </c>
    </row>
    <row r="105" spans="2:6" s="2" customFormat="1" ht="26.1" customHeight="1">
      <c r="B105" s="934">
        <v>43071</v>
      </c>
      <c r="C105" s="1614" t="s">
        <v>3106</v>
      </c>
      <c r="D105" s="1614" t="s">
        <v>3107</v>
      </c>
      <c r="E105" s="1613" t="s">
        <v>347</v>
      </c>
      <c r="F105" s="1613">
        <v>1.32</v>
      </c>
    </row>
    <row r="106" spans="2:6" s="2" customFormat="1" ht="26.1" customHeight="1">
      <c r="B106" s="934">
        <v>43071</v>
      </c>
      <c r="C106" s="1614" t="s">
        <v>3115</v>
      </c>
      <c r="D106" s="1614" t="s">
        <v>3116</v>
      </c>
      <c r="E106" s="1613" t="s">
        <v>347</v>
      </c>
      <c r="F106" s="1613">
        <v>1.32</v>
      </c>
    </row>
    <row r="107" spans="2:6" s="2" customFormat="1" ht="26.1" customHeight="1">
      <c r="B107" s="934">
        <v>43071</v>
      </c>
      <c r="C107" s="1614" t="s">
        <v>3117</v>
      </c>
      <c r="D107" s="1614" t="s">
        <v>3118</v>
      </c>
      <c r="E107" s="1613" t="s">
        <v>347</v>
      </c>
      <c r="F107" s="1613">
        <v>1.32</v>
      </c>
    </row>
    <row r="108" spans="2:6" s="2" customFormat="1" ht="26.1" customHeight="1">
      <c r="B108" s="934">
        <v>43071</v>
      </c>
      <c r="C108" s="1614" t="s">
        <v>3119</v>
      </c>
      <c r="D108" s="1614" t="s">
        <v>3120</v>
      </c>
      <c r="E108" s="1613" t="s">
        <v>347</v>
      </c>
      <c r="F108" s="1613">
        <v>1.32</v>
      </c>
    </row>
    <row r="109" spans="2:6" s="2" customFormat="1" ht="26.1" customHeight="1">
      <c r="B109" s="934">
        <v>43071</v>
      </c>
      <c r="C109" s="1614" t="s">
        <v>3122</v>
      </c>
      <c r="D109" s="1614" t="s">
        <v>3123</v>
      </c>
      <c r="E109" s="1613" t="s">
        <v>347</v>
      </c>
      <c r="F109" s="1613">
        <v>1.32</v>
      </c>
    </row>
    <row r="110" spans="2:6" s="2" customFormat="1" ht="26.1" customHeight="1">
      <c r="B110" s="934">
        <v>43071</v>
      </c>
      <c r="C110" s="1614" t="s">
        <v>3124</v>
      </c>
      <c r="D110" s="1614" t="s">
        <v>3123</v>
      </c>
      <c r="E110" s="1613" t="s">
        <v>347</v>
      </c>
      <c r="F110" s="1613">
        <v>1.32</v>
      </c>
    </row>
    <row r="111" spans="2:6" s="2" customFormat="1" ht="26.1" customHeight="1">
      <c r="B111" s="934">
        <v>43072</v>
      </c>
      <c r="C111" s="1614" t="s">
        <v>3125</v>
      </c>
      <c r="D111" s="1614" t="s">
        <v>3126</v>
      </c>
      <c r="E111" s="1613" t="s">
        <v>347</v>
      </c>
      <c r="F111" s="1613">
        <v>1.33</v>
      </c>
    </row>
    <row r="112" spans="2:6" s="2" customFormat="1" ht="26.1" customHeight="1">
      <c r="B112" s="934">
        <v>43074</v>
      </c>
      <c r="C112" s="1614" t="s">
        <v>3129</v>
      </c>
      <c r="D112" s="1614" t="s">
        <v>3130</v>
      </c>
      <c r="E112" s="1613" t="s">
        <v>347</v>
      </c>
      <c r="F112" s="1613">
        <v>1.33</v>
      </c>
    </row>
    <row r="113" spans="2:6" s="2" customFormat="1" ht="26.1" customHeight="1">
      <c r="B113" s="934">
        <v>43075</v>
      </c>
      <c r="C113" s="1614" t="s">
        <v>3127</v>
      </c>
      <c r="D113" s="1614" t="s">
        <v>3128</v>
      </c>
      <c r="E113" s="1613" t="s">
        <v>347</v>
      </c>
      <c r="F113" s="1613">
        <v>1.33</v>
      </c>
    </row>
    <row r="114" spans="2:6" s="2" customFormat="1" ht="26.1" customHeight="1">
      <c r="B114" s="934">
        <v>43081</v>
      </c>
      <c r="C114" s="1614" t="s">
        <v>3132</v>
      </c>
      <c r="D114" s="1614" t="s">
        <v>3131</v>
      </c>
      <c r="E114" s="1613" t="s">
        <v>347</v>
      </c>
      <c r="F114" s="1613">
        <v>1.33</v>
      </c>
    </row>
    <row r="115" spans="2:6" s="2" customFormat="1" ht="26.1" customHeight="1">
      <c r="B115" s="934">
        <v>43082</v>
      </c>
      <c r="C115" s="1614" t="s">
        <v>3138</v>
      </c>
      <c r="D115" s="1614" t="s">
        <v>3139</v>
      </c>
      <c r="E115" s="1613" t="s">
        <v>347</v>
      </c>
      <c r="F115" s="1613">
        <v>1.34</v>
      </c>
    </row>
    <row r="116" spans="2:6" s="2" customFormat="1" ht="26.1" customHeight="1">
      <c r="B116" s="934">
        <v>43082</v>
      </c>
      <c r="C116" s="1614" t="s">
        <v>3140</v>
      </c>
      <c r="D116" s="1614" t="s">
        <v>3123</v>
      </c>
      <c r="E116" s="1613" t="s">
        <v>347</v>
      </c>
      <c r="F116" s="1613">
        <v>1.34</v>
      </c>
    </row>
    <row r="117" spans="2:6" s="2" customFormat="1" ht="26.1" customHeight="1">
      <c r="B117" s="934">
        <v>43085</v>
      </c>
      <c r="C117" s="1614" t="s">
        <v>3142</v>
      </c>
      <c r="D117" s="1614" t="s">
        <v>3143</v>
      </c>
      <c r="E117" s="1613" t="s">
        <v>347</v>
      </c>
      <c r="F117" s="1613">
        <v>1.35</v>
      </c>
    </row>
    <row r="118" spans="2:6" s="2" customFormat="1" ht="26.1" customHeight="1">
      <c r="B118" s="934">
        <v>43085</v>
      </c>
      <c r="C118" s="1614" t="s">
        <v>3144</v>
      </c>
      <c r="D118" s="1614" t="s">
        <v>3145</v>
      </c>
      <c r="E118" s="1613" t="s">
        <v>347</v>
      </c>
      <c r="F118" s="1613">
        <v>1.35</v>
      </c>
    </row>
    <row r="119" spans="2:6" s="2" customFormat="1" ht="26.1" customHeight="1">
      <c r="B119" s="934">
        <v>43086</v>
      </c>
      <c r="C119" s="1614" t="s">
        <v>3148</v>
      </c>
      <c r="D119" s="1614" t="s">
        <v>3149</v>
      </c>
      <c r="E119" s="1613" t="s">
        <v>347</v>
      </c>
      <c r="F119" s="1613">
        <v>2</v>
      </c>
    </row>
    <row r="120" spans="2:6" s="2" customFormat="1" ht="26.1" customHeight="1">
      <c r="B120" s="934">
        <v>43096</v>
      </c>
      <c r="C120" s="1614" t="s">
        <v>3150</v>
      </c>
      <c r="D120" s="1614" t="s">
        <v>3151</v>
      </c>
      <c r="E120" s="1613" t="s">
        <v>347</v>
      </c>
      <c r="F120" s="1613">
        <v>2</v>
      </c>
    </row>
    <row r="121" spans="2:6" s="2" customFormat="1" ht="26.1" customHeight="1">
      <c r="B121" s="934">
        <v>43096</v>
      </c>
      <c r="C121" s="1614" t="s">
        <v>3152</v>
      </c>
      <c r="D121" s="1614" t="s">
        <v>3153</v>
      </c>
      <c r="E121" s="1613" t="s">
        <v>347</v>
      </c>
      <c r="F121" s="1613">
        <v>2</v>
      </c>
    </row>
    <row r="122" spans="2:6" s="2" customFormat="1" ht="26.1" customHeight="1">
      <c r="B122" s="934">
        <v>43096</v>
      </c>
      <c r="C122" s="1614" t="s">
        <v>3156</v>
      </c>
      <c r="D122" s="1614" t="s">
        <v>3155</v>
      </c>
      <c r="E122" s="1613" t="s">
        <v>347</v>
      </c>
      <c r="F122" s="1613">
        <v>2</v>
      </c>
    </row>
    <row r="123" spans="2:6" s="2" customFormat="1" ht="26.1" customHeight="1">
      <c r="B123" s="934">
        <v>43108</v>
      </c>
      <c r="C123" s="1614" t="s">
        <v>3230</v>
      </c>
      <c r="D123" s="1614" t="s">
        <v>3231</v>
      </c>
      <c r="E123" s="1613" t="s">
        <v>347</v>
      </c>
      <c r="F123" s="1613">
        <v>2</v>
      </c>
    </row>
    <row r="124" spans="2:6" s="2" customFormat="1" ht="26.1" customHeight="1">
      <c r="B124" s="934">
        <v>43108</v>
      </c>
      <c r="C124" s="1614" t="s">
        <v>3232</v>
      </c>
      <c r="D124" s="1614" t="s">
        <v>3233</v>
      </c>
      <c r="E124" s="1613" t="s">
        <v>347</v>
      </c>
      <c r="F124" s="1613">
        <v>2</v>
      </c>
    </row>
    <row r="125" spans="2:6" s="2" customFormat="1" ht="26.1" customHeight="1">
      <c r="B125" s="934">
        <v>43108</v>
      </c>
      <c r="C125" s="1614" t="s">
        <v>3234</v>
      </c>
      <c r="D125" s="1614" t="s">
        <v>3233</v>
      </c>
      <c r="E125" s="1613" t="s">
        <v>347</v>
      </c>
      <c r="F125" s="1613">
        <v>2</v>
      </c>
    </row>
    <row r="126" spans="2:6" s="2" customFormat="1" ht="26.1" customHeight="1">
      <c r="B126" s="934">
        <v>43115</v>
      </c>
      <c r="C126" s="1614" t="s">
        <v>3235</v>
      </c>
      <c r="D126" s="1614" t="s">
        <v>3236</v>
      </c>
      <c r="E126" s="1613" t="s">
        <v>347</v>
      </c>
      <c r="F126" s="1613">
        <v>2.0099999999999998</v>
      </c>
    </row>
    <row r="127" spans="2:6" s="2" customFormat="1" ht="26.1" customHeight="1">
      <c r="B127" s="934">
        <v>43115</v>
      </c>
      <c r="C127" s="1614" t="s">
        <v>3238</v>
      </c>
      <c r="D127" s="1614" t="s">
        <v>3239</v>
      </c>
      <c r="E127" s="1613" t="s">
        <v>347</v>
      </c>
      <c r="F127" s="1613">
        <v>2.0099999999999998</v>
      </c>
    </row>
    <row r="128" spans="2:6" s="2" customFormat="1" ht="26.1" customHeight="1">
      <c r="B128" s="934">
        <v>43126</v>
      </c>
      <c r="C128" s="1614" t="s">
        <v>3240</v>
      </c>
      <c r="D128" s="1614" t="s">
        <v>3241</v>
      </c>
      <c r="E128" s="1613" t="s">
        <v>347</v>
      </c>
      <c r="F128" s="1613">
        <v>2.0099999999999998</v>
      </c>
    </row>
    <row r="129" spans="2:6" s="2" customFormat="1" ht="26.1" customHeight="1">
      <c r="B129" s="934">
        <v>43126</v>
      </c>
      <c r="C129" s="1614" t="s">
        <v>3242</v>
      </c>
      <c r="D129" s="1614" t="s">
        <v>3243</v>
      </c>
      <c r="E129" s="1613" t="s">
        <v>347</v>
      </c>
      <c r="F129" s="1613">
        <v>2.0099999999999998</v>
      </c>
    </row>
    <row r="130" spans="2:6" s="2" customFormat="1" ht="26.1" customHeight="1">
      <c r="B130" s="934">
        <v>43126</v>
      </c>
      <c r="C130" s="1614" t="s">
        <v>3244</v>
      </c>
      <c r="D130" s="1614" t="s">
        <v>3245</v>
      </c>
      <c r="E130" s="1613" t="s">
        <v>347</v>
      </c>
      <c r="F130" s="1613">
        <v>2.0099999999999998</v>
      </c>
    </row>
    <row r="131" spans="2:6" s="2" customFormat="1" ht="26.1" customHeight="1">
      <c r="B131" s="934">
        <v>43126</v>
      </c>
      <c r="C131" s="1614" t="s">
        <v>3247</v>
      </c>
      <c r="D131" s="1614" t="s">
        <v>3248</v>
      </c>
      <c r="E131" s="1613" t="s">
        <v>347</v>
      </c>
      <c r="F131" s="1613">
        <v>2.02</v>
      </c>
    </row>
    <row r="132" spans="2:6" s="2" customFormat="1" ht="26.1" customHeight="1">
      <c r="B132" s="934">
        <v>43130</v>
      </c>
      <c r="C132" s="1614" t="s">
        <v>3247</v>
      </c>
      <c r="D132" s="1614" t="s">
        <v>3249</v>
      </c>
      <c r="E132" s="1613" t="s">
        <v>347</v>
      </c>
      <c r="F132" s="1613">
        <v>2.02</v>
      </c>
    </row>
    <row r="133" spans="2:6" s="2" customFormat="1" ht="26.1" customHeight="1">
      <c r="B133" s="934">
        <v>43432</v>
      </c>
      <c r="C133" s="1614" t="s">
        <v>3395</v>
      </c>
      <c r="D133" s="1614" t="s">
        <v>3396</v>
      </c>
      <c r="E133" s="1613" t="s">
        <v>347</v>
      </c>
      <c r="F133" s="1613">
        <v>2.1</v>
      </c>
    </row>
    <row r="134" spans="2:6" s="2" customFormat="1" ht="26.1" customHeight="1">
      <c r="B134" s="934">
        <v>43432</v>
      </c>
      <c r="C134" s="1614" t="s">
        <v>3279</v>
      </c>
      <c r="D134" s="1614" t="s">
        <v>3280</v>
      </c>
      <c r="E134" s="1613" t="s">
        <v>3283</v>
      </c>
      <c r="F134" s="1613">
        <v>2.1</v>
      </c>
    </row>
    <row r="135" spans="2:6" s="2" customFormat="1" ht="26.1" customHeight="1">
      <c r="B135" s="934">
        <v>43432</v>
      </c>
      <c r="C135" s="1614" t="s">
        <v>3386</v>
      </c>
      <c r="D135" s="1614" t="s">
        <v>3387</v>
      </c>
      <c r="E135" s="1613" t="s">
        <v>3283</v>
      </c>
      <c r="F135" s="1613">
        <v>2.1</v>
      </c>
    </row>
    <row r="136" spans="2:6" s="2" customFormat="1" ht="26.1" customHeight="1">
      <c r="B136" s="934">
        <v>43432</v>
      </c>
      <c r="C136" s="1614" t="s">
        <v>3385</v>
      </c>
      <c r="D136" s="1614" t="s">
        <v>3380</v>
      </c>
      <c r="E136" s="1613" t="s">
        <v>3283</v>
      </c>
      <c r="F136" s="1613">
        <v>2.1</v>
      </c>
    </row>
    <row r="137" spans="2:6" s="2" customFormat="1" ht="26.1" customHeight="1">
      <c r="B137" s="934">
        <v>43441</v>
      </c>
      <c r="C137" s="1614" t="s">
        <v>3284</v>
      </c>
      <c r="D137" s="1614" t="s">
        <v>3285</v>
      </c>
      <c r="E137" s="1613" t="s">
        <v>347</v>
      </c>
      <c r="F137" s="1613">
        <v>2.1</v>
      </c>
    </row>
    <row r="138" spans="2:6" s="2" customFormat="1" ht="26.1" customHeight="1">
      <c r="B138" s="934">
        <v>43441</v>
      </c>
      <c r="C138" s="1614" t="s">
        <v>3286</v>
      </c>
      <c r="D138" s="1614" t="s">
        <v>3287</v>
      </c>
      <c r="E138" s="1613" t="s">
        <v>347</v>
      </c>
      <c r="F138" s="1613">
        <v>2.1</v>
      </c>
    </row>
    <row r="139" spans="2:6" s="2" customFormat="1" ht="26.1" customHeight="1">
      <c r="B139" s="934">
        <v>43441</v>
      </c>
      <c r="C139" s="1614" t="s">
        <v>3289</v>
      </c>
      <c r="D139" s="1614" t="s">
        <v>3290</v>
      </c>
      <c r="E139" s="1613" t="s">
        <v>347</v>
      </c>
      <c r="F139" s="1613">
        <v>2.1</v>
      </c>
    </row>
    <row r="140" spans="2:6" s="2" customFormat="1" ht="26.1" customHeight="1">
      <c r="B140" s="934">
        <v>43441</v>
      </c>
      <c r="C140" s="1614" t="s">
        <v>3292</v>
      </c>
      <c r="D140" s="1614" t="s">
        <v>3291</v>
      </c>
      <c r="E140" s="1613" t="s">
        <v>347</v>
      </c>
      <c r="F140" s="1613">
        <v>2.1</v>
      </c>
    </row>
    <row r="141" spans="2:6" s="2" customFormat="1" ht="26.1" customHeight="1">
      <c r="B141" s="934">
        <v>43441</v>
      </c>
      <c r="C141" s="1614" t="s">
        <v>3293</v>
      </c>
      <c r="D141" s="1614" t="s">
        <v>3291</v>
      </c>
      <c r="E141" s="1613" t="s">
        <v>347</v>
      </c>
      <c r="F141" s="1613">
        <v>2.1</v>
      </c>
    </row>
    <row r="142" spans="2:6" s="2" customFormat="1" ht="26.1" customHeight="1">
      <c r="B142" s="934">
        <v>43441</v>
      </c>
      <c r="C142" s="1614" t="s">
        <v>3294</v>
      </c>
      <c r="D142" s="1614" t="s">
        <v>3295</v>
      </c>
      <c r="E142" s="1613" t="s">
        <v>347</v>
      </c>
      <c r="F142" s="1613">
        <v>2.1</v>
      </c>
    </row>
    <row r="143" spans="2:6" s="2" customFormat="1" ht="26.1" customHeight="1">
      <c r="B143" s="934">
        <v>43441</v>
      </c>
      <c r="C143" s="1614" t="s">
        <v>3297</v>
      </c>
      <c r="D143" s="1614" t="s">
        <v>3298</v>
      </c>
      <c r="E143" s="1613" t="s">
        <v>347</v>
      </c>
      <c r="F143" s="1613">
        <v>2.1</v>
      </c>
    </row>
    <row r="144" spans="2:6" s="2" customFormat="1" ht="26.1" customHeight="1">
      <c r="B144" s="934">
        <v>43441</v>
      </c>
      <c r="C144" s="1614" t="s">
        <v>3299</v>
      </c>
      <c r="D144" s="1614" t="s">
        <v>3298</v>
      </c>
      <c r="E144" s="1613" t="s">
        <v>347</v>
      </c>
      <c r="F144" s="1613">
        <v>2.1</v>
      </c>
    </row>
    <row r="145" spans="2:6" s="2" customFormat="1" ht="26.1" customHeight="1">
      <c r="B145" s="934">
        <v>43441</v>
      </c>
      <c r="C145" s="1614" t="s">
        <v>3300</v>
      </c>
      <c r="D145" s="1614" t="s">
        <v>3301</v>
      </c>
      <c r="E145" s="1613" t="s">
        <v>347</v>
      </c>
      <c r="F145" s="1613">
        <v>2.1</v>
      </c>
    </row>
    <row r="146" spans="2:6" s="2" customFormat="1" ht="26.1" customHeight="1">
      <c r="B146" s="934">
        <v>43442</v>
      </c>
      <c r="C146" s="1614" t="s">
        <v>3388</v>
      </c>
      <c r="D146" s="1614" t="s">
        <v>3389</v>
      </c>
      <c r="E146" s="1613" t="s">
        <v>347</v>
      </c>
      <c r="F146" s="1613">
        <v>2.1</v>
      </c>
    </row>
    <row r="147" spans="2:6" s="2" customFormat="1" ht="26.1" customHeight="1">
      <c r="B147" s="934">
        <v>43442</v>
      </c>
      <c r="C147" s="1614" t="s">
        <v>3390</v>
      </c>
      <c r="D147" s="1614" t="s">
        <v>3389</v>
      </c>
      <c r="E147" s="1613" t="s">
        <v>347</v>
      </c>
      <c r="F147" s="1613">
        <v>2.1</v>
      </c>
    </row>
    <row r="148" spans="2:6" s="2" customFormat="1" ht="26.1" customHeight="1">
      <c r="B148" s="934">
        <v>43442</v>
      </c>
      <c r="C148" s="1614" t="s">
        <v>3391</v>
      </c>
      <c r="D148" s="1614" t="s">
        <v>3392</v>
      </c>
      <c r="E148" s="1613" t="s">
        <v>347</v>
      </c>
      <c r="F148" s="1613">
        <v>2.1</v>
      </c>
    </row>
    <row r="149" spans="2:6" s="2" customFormat="1" ht="26.1" customHeight="1">
      <c r="B149" s="934">
        <v>43442</v>
      </c>
      <c r="C149" s="1614" t="s">
        <v>3393</v>
      </c>
      <c r="D149" s="1614" t="s">
        <v>3394</v>
      </c>
      <c r="E149" s="1613" t="s">
        <v>347</v>
      </c>
      <c r="F149" s="1613">
        <v>2.1</v>
      </c>
    </row>
    <row r="150" spans="2:6" s="2" customFormat="1" ht="26.1" customHeight="1">
      <c r="B150" s="934">
        <v>43442</v>
      </c>
      <c r="C150" s="1614" t="s">
        <v>3417</v>
      </c>
      <c r="D150" s="1614" t="s">
        <v>3418</v>
      </c>
      <c r="E150" s="1613" t="s">
        <v>347</v>
      </c>
      <c r="F150" s="1613">
        <v>2.1</v>
      </c>
    </row>
    <row r="151" spans="2:6" s="2" customFormat="1" ht="26.1" customHeight="1">
      <c r="B151" s="934">
        <v>43442</v>
      </c>
      <c r="C151" s="1614" t="s">
        <v>3419</v>
      </c>
      <c r="D151" s="1614" t="s">
        <v>3420</v>
      </c>
      <c r="E151" s="1613" t="s">
        <v>347</v>
      </c>
      <c r="F151" s="1613">
        <v>2.1</v>
      </c>
    </row>
    <row r="152" spans="2:6" s="2" customFormat="1" ht="26.1" customHeight="1">
      <c r="B152" s="934">
        <v>43445</v>
      </c>
      <c r="C152" s="1614" t="s">
        <v>3425</v>
      </c>
      <c r="D152" s="1614" t="s">
        <v>3426</v>
      </c>
      <c r="E152" s="1613" t="s">
        <v>347</v>
      </c>
      <c r="F152" s="1613">
        <v>2.1</v>
      </c>
    </row>
    <row r="153" spans="2:6" s="2" customFormat="1" ht="26.1" customHeight="1">
      <c r="B153" s="934">
        <v>43445</v>
      </c>
      <c r="C153" s="1614" t="s">
        <v>3427</v>
      </c>
      <c r="D153" s="1614" t="s">
        <v>3428</v>
      </c>
      <c r="E153" s="1613" t="s">
        <v>347</v>
      </c>
      <c r="F153" s="1613">
        <v>2.1</v>
      </c>
    </row>
    <row r="154" spans="2:6" s="2" customFormat="1" ht="26.1" customHeight="1">
      <c r="B154" s="934">
        <v>43446</v>
      </c>
      <c r="C154" s="1614" t="s">
        <v>3438</v>
      </c>
      <c r="D154" s="1614" t="s">
        <v>3437</v>
      </c>
      <c r="E154" s="1613" t="s">
        <v>347</v>
      </c>
      <c r="F154" s="1613">
        <v>2.1</v>
      </c>
    </row>
    <row r="155" spans="2:6" s="2" customFormat="1" ht="26.1" customHeight="1">
      <c r="B155" s="934">
        <v>43446</v>
      </c>
      <c r="C155" s="1614" t="s">
        <v>3439</v>
      </c>
      <c r="D155" s="1614" t="s">
        <v>3440</v>
      </c>
      <c r="E155" s="1613" t="s">
        <v>347</v>
      </c>
      <c r="F155" s="1613">
        <v>2.1</v>
      </c>
    </row>
    <row r="156" spans="2:6" s="2" customFormat="1" ht="26.1" customHeight="1">
      <c r="B156" s="934">
        <v>43447</v>
      </c>
      <c r="C156" s="1614" t="s">
        <v>3445</v>
      </c>
      <c r="D156" s="1614" t="s">
        <v>3444</v>
      </c>
      <c r="E156" s="1613" t="s">
        <v>347</v>
      </c>
      <c r="F156" s="1613">
        <v>2.1</v>
      </c>
    </row>
    <row r="157" spans="2:6" s="2" customFormat="1" ht="26.1" customHeight="1">
      <c r="B157" s="934">
        <v>43455</v>
      </c>
      <c r="C157" s="1614" t="s">
        <v>2887</v>
      </c>
      <c r="D157" s="1614" t="s">
        <v>3520</v>
      </c>
      <c r="E157" s="1613" t="s">
        <v>347</v>
      </c>
      <c r="F157" s="1613">
        <v>2.1</v>
      </c>
    </row>
    <row r="158" spans="2:6" s="2" customFormat="1" ht="26.1" customHeight="1">
      <c r="B158" s="934">
        <v>43470</v>
      </c>
      <c r="C158" s="1614" t="s">
        <v>3521</v>
      </c>
      <c r="D158" s="1614" t="s">
        <v>3522</v>
      </c>
      <c r="E158" s="1613" t="s">
        <v>347</v>
      </c>
      <c r="F158" s="1613">
        <v>2.1</v>
      </c>
    </row>
    <row r="159" spans="2:6" s="2" customFormat="1" ht="26.1" customHeight="1">
      <c r="B159" s="934">
        <v>43476</v>
      </c>
      <c r="C159" s="1614" t="s">
        <v>3526</v>
      </c>
      <c r="D159" s="1614" t="s">
        <v>3525</v>
      </c>
      <c r="E159" s="1613" t="s">
        <v>347</v>
      </c>
      <c r="F159" s="1613">
        <v>2.1</v>
      </c>
    </row>
    <row r="160" spans="2:6" s="2" customFormat="1" ht="26.1" customHeight="1">
      <c r="B160" s="934">
        <v>43476</v>
      </c>
      <c r="C160" s="1614" t="s">
        <v>3527</v>
      </c>
      <c r="D160" s="1614" t="s">
        <v>3525</v>
      </c>
      <c r="E160" s="1613" t="s">
        <v>347</v>
      </c>
      <c r="F160" s="1613">
        <v>2.1</v>
      </c>
    </row>
    <row r="161" spans="2:6" s="2" customFormat="1" ht="26.1" customHeight="1">
      <c r="B161" s="934">
        <v>43502</v>
      </c>
      <c r="C161" s="1614" t="s">
        <v>3560</v>
      </c>
      <c r="D161" s="1614" t="s">
        <v>3565</v>
      </c>
      <c r="E161" s="1613" t="s">
        <v>347</v>
      </c>
      <c r="F161" s="1613">
        <v>2.2000000000000002</v>
      </c>
    </row>
    <row r="162" spans="2:6" s="2" customFormat="1" ht="26.1" customHeight="1">
      <c r="B162" s="934">
        <v>43502</v>
      </c>
      <c r="C162" s="1614" t="s">
        <v>3561</v>
      </c>
      <c r="D162" s="1614" t="s">
        <v>3565</v>
      </c>
      <c r="E162" s="1613" t="s">
        <v>347</v>
      </c>
      <c r="F162" s="1613">
        <v>2.2000000000000002</v>
      </c>
    </row>
    <row r="163" spans="2:6" s="2" customFormat="1" ht="26.1" customHeight="1">
      <c r="B163" s="934">
        <v>43502</v>
      </c>
      <c r="C163" s="1614" t="s">
        <v>3563</v>
      </c>
      <c r="D163" s="1614" t="s">
        <v>3564</v>
      </c>
      <c r="E163" s="1613" t="s">
        <v>347</v>
      </c>
      <c r="F163" s="1613">
        <v>2.2000000000000002</v>
      </c>
    </row>
    <row r="164" spans="2:6" s="2" customFormat="1" ht="26.1" customHeight="1">
      <c r="B164" s="934">
        <v>43537</v>
      </c>
      <c r="C164" s="1614" t="s">
        <v>3567</v>
      </c>
      <c r="D164" s="1614" t="s">
        <v>3566</v>
      </c>
      <c r="E164" s="1613" t="s">
        <v>347</v>
      </c>
      <c r="F164" s="1613">
        <v>2.2000000000000002</v>
      </c>
    </row>
    <row r="165" spans="2:6" s="2" customFormat="1" ht="26.1" customHeight="1">
      <c r="B165" s="934">
        <v>43552</v>
      </c>
      <c r="C165" s="1614" t="s">
        <v>3573</v>
      </c>
      <c r="D165" s="1614" t="s">
        <v>3572</v>
      </c>
      <c r="E165" s="1613" t="s">
        <v>347</v>
      </c>
      <c r="F165" s="1613">
        <v>2.2000000000000002</v>
      </c>
    </row>
    <row r="166" spans="2:6" s="2" customFormat="1" ht="26.1" customHeight="1">
      <c r="B166" s="934">
        <v>43589</v>
      </c>
      <c r="C166" s="1614" t="s">
        <v>3602</v>
      </c>
      <c r="D166" s="2" t="s">
        <v>3601</v>
      </c>
      <c r="E166" s="1613" t="s">
        <v>347</v>
      </c>
      <c r="F166" s="1613">
        <v>2.2999999999999998</v>
      </c>
    </row>
    <row r="167" spans="2:6" s="2" customFormat="1" ht="26.1" customHeight="1">
      <c r="B167" s="934">
        <v>43589</v>
      </c>
      <c r="C167" s="1614" t="s">
        <v>3600</v>
      </c>
      <c r="D167" s="938" t="s">
        <v>3599</v>
      </c>
      <c r="E167" s="1613" t="s">
        <v>347</v>
      </c>
      <c r="F167" s="1613">
        <v>2.2999999999999998</v>
      </c>
    </row>
    <row r="168" spans="2:6" s="2" customFormat="1" ht="26.1" customHeight="1">
      <c r="B168" s="934">
        <v>43589</v>
      </c>
      <c r="C168" s="1614" t="s">
        <v>3603</v>
      </c>
      <c r="D168" s="938" t="s">
        <v>3599</v>
      </c>
      <c r="E168" s="1613" t="s">
        <v>347</v>
      </c>
      <c r="F168" s="1613">
        <v>2.2999999999999998</v>
      </c>
    </row>
    <row r="169" spans="2:6" s="2" customFormat="1" ht="26.1" customHeight="1">
      <c r="B169" s="934">
        <v>43589</v>
      </c>
      <c r="C169" s="1614" t="s">
        <v>3604</v>
      </c>
      <c r="D169" s="938" t="s">
        <v>3599</v>
      </c>
      <c r="E169" s="1613" t="s">
        <v>347</v>
      </c>
      <c r="F169" s="1613">
        <v>2.2999999999999998</v>
      </c>
    </row>
    <row r="170" spans="2:6" s="2" customFormat="1" ht="26.1" customHeight="1">
      <c r="B170" s="934">
        <v>43589</v>
      </c>
      <c r="C170" s="1614" t="s">
        <v>3605</v>
      </c>
      <c r="D170" s="938" t="s">
        <v>3599</v>
      </c>
      <c r="E170" s="1613" t="s">
        <v>347</v>
      </c>
      <c r="F170" s="1613">
        <v>2.2999999999999998</v>
      </c>
    </row>
    <row r="171" spans="2:6" s="2" customFormat="1" ht="26.1" customHeight="1">
      <c r="B171" s="934">
        <v>43589</v>
      </c>
      <c r="C171" s="1614" t="s">
        <v>3606</v>
      </c>
      <c r="D171" s="938" t="s">
        <v>3599</v>
      </c>
      <c r="E171" s="1613" t="s">
        <v>347</v>
      </c>
      <c r="F171" s="1613">
        <v>2.2999999999999998</v>
      </c>
    </row>
    <row r="172" spans="2:6" s="2" customFormat="1" ht="26.1" customHeight="1">
      <c r="B172" s="934">
        <v>43589</v>
      </c>
      <c r="C172" s="1614" t="s">
        <v>3607</v>
      </c>
      <c r="D172" s="938" t="s">
        <v>3599</v>
      </c>
      <c r="E172" s="1613" t="s">
        <v>347</v>
      </c>
      <c r="F172" s="1613">
        <v>2.2999999999999998</v>
      </c>
    </row>
    <row r="173" spans="2:6" s="2" customFormat="1" ht="26.1" customHeight="1">
      <c r="B173" s="934">
        <v>43589</v>
      </c>
      <c r="C173" s="1614" t="s">
        <v>3608</v>
      </c>
      <c r="D173" s="938" t="s">
        <v>3599</v>
      </c>
      <c r="E173" s="1613" t="s">
        <v>347</v>
      </c>
      <c r="F173" s="1613">
        <v>2.2999999999999998</v>
      </c>
    </row>
    <row r="174" spans="2:6" s="2" customFormat="1" ht="26.1" customHeight="1">
      <c r="B174" s="934">
        <v>43598</v>
      </c>
      <c r="C174" s="1614" t="s">
        <v>3612</v>
      </c>
      <c r="D174" s="1614" t="s">
        <v>3613</v>
      </c>
      <c r="E174" s="1613" t="s">
        <v>347</v>
      </c>
      <c r="F174" s="1613">
        <v>2.2999999999999998</v>
      </c>
    </row>
    <row r="175" spans="2:6" s="2" customFormat="1" ht="26.1" customHeight="1">
      <c r="B175" s="934">
        <v>43833</v>
      </c>
      <c r="C175" s="1614" t="s">
        <v>3625</v>
      </c>
      <c r="D175" s="1614" t="s">
        <v>3626</v>
      </c>
      <c r="E175" s="935" t="s">
        <v>347</v>
      </c>
      <c r="F175" s="935">
        <v>2.4</v>
      </c>
    </row>
    <row r="176" spans="2:6" s="2" customFormat="1" ht="26.1" customHeight="1">
      <c r="B176" s="934">
        <v>43833</v>
      </c>
      <c r="C176" s="1614" t="s">
        <v>3628</v>
      </c>
      <c r="D176" s="1614" t="s">
        <v>3627</v>
      </c>
      <c r="E176" s="1613" t="s">
        <v>347</v>
      </c>
      <c r="F176" s="1613">
        <v>2.4</v>
      </c>
    </row>
    <row r="177" spans="2:6" s="2" customFormat="1" ht="26.1" customHeight="1">
      <c r="B177" s="934">
        <v>43833</v>
      </c>
      <c r="C177" s="1614" t="s">
        <v>3629</v>
      </c>
      <c r="D177" s="1614" t="s">
        <v>3630</v>
      </c>
      <c r="E177" s="1613" t="s">
        <v>347</v>
      </c>
      <c r="F177" s="1613">
        <v>2.4</v>
      </c>
    </row>
    <row r="178" spans="2:6" s="2" customFormat="1" ht="26.1" customHeight="1">
      <c r="B178" s="934">
        <v>43834</v>
      </c>
      <c r="C178" s="1614" t="s">
        <v>3752</v>
      </c>
      <c r="D178" s="1614" t="s">
        <v>3753</v>
      </c>
      <c r="E178" s="1613" t="s">
        <v>347</v>
      </c>
      <c r="F178" s="1613">
        <v>2.4</v>
      </c>
    </row>
    <row r="179" spans="2:6" s="2" customFormat="1" ht="26.1" customHeight="1">
      <c r="B179" s="934">
        <v>43834</v>
      </c>
      <c r="C179" s="1614" t="s">
        <v>3755</v>
      </c>
      <c r="D179" s="1614" t="s">
        <v>3754</v>
      </c>
      <c r="E179" s="1613" t="s">
        <v>347</v>
      </c>
      <c r="F179" s="1613">
        <v>2.4</v>
      </c>
    </row>
    <row r="180" spans="2:6" s="2" customFormat="1" ht="26.1" customHeight="1">
      <c r="B180" s="934">
        <v>43834</v>
      </c>
      <c r="C180" s="1614" t="s">
        <v>3766</v>
      </c>
      <c r="D180" s="1614" t="s">
        <v>3765</v>
      </c>
      <c r="E180" s="1613" t="s">
        <v>347</v>
      </c>
      <c r="F180" s="1613">
        <v>2.4</v>
      </c>
    </row>
    <row r="181" spans="2:6" s="2" customFormat="1" ht="26.1" customHeight="1">
      <c r="B181" s="934">
        <v>43834</v>
      </c>
      <c r="C181" s="1614" t="s">
        <v>3768</v>
      </c>
      <c r="D181" s="1614" t="s">
        <v>3767</v>
      </c>
      <c r="E181" s="1613" t="s">
        <v>347</v>
      </c>
      <c r="F181" s="1613">
        <v>2.4</v>
      </c>
    </row>
    <row r="182" spans="2:6" s="2" customFormat="1" ht="26.1" customHeight="1">
      <c r="B182" s="934">
        <v>43834</v>
      </c>
      <c r="C182" s="1614" t="s">
        <v>3769</v>
      </c>
      <c r="D182" s="1614" t="s">
        <v>3767</v>
      </c>
      <c r="E182" s="1613" t="s">
        <v>347</v>
      </c>
      <c r="F182" s="1613">
        <v>2.4</v>
      </c>
    </row>
    <row r="183" spans="2:6" s="2" customFormat="1" ht="26.1" customHeight="1">
      <c r="B183" s="934">
        <v>43834</v>
      </c>
      <c r="C183" s="1614" t="s">
        <v>3770</v>
      </c>
      <c r="D183" s="1614" t="s">
        <v>3767</v>
      </c>
      <c r="E183" s="1613" t="s">
        <v>347</v>
      </c>
      <c r="F183" s="1613">
        <v>2.4</v>
      </c>
    </row>
    <row r="184" spans="2:6" s="2" customFormat="1" ht="26.1" customHeight="1">
      <c r="B184" s="934">
        <v>43834</v>
      </c>
      <c r="C184" s="1614" t="s">
        <v>3771</v>
      </c>
      <c r="D184" s="1614" t="s">
        <v>3767</v>
      </c>
      <c r="E184" s="1613" t="s">
        <v>347</v>
      </c>
      <c r="F184" s="1613">
        <v>2.4</v>
      </c>
    </row>
    <row r="185" spans="2:6" s="2" customFormat="1" ht="26.1" customHeight="1">
      <c r="B185" s="934">
        <v>43834</v>
      </c>
      <c r="C185" s="1614" t="s">
        <v>3773</v>
      </c>
      <c r="D185" s="1614" t="s">
        <v>3772</v>
      </c>
      <c r="E185" s="1613" t="s">
        <v>347</v>
      </c>
      <c r="F185" s="1613">
        <v>2.4</v>
      </c>
    </row>
    <row r="186" spans="2:6" s="2" customFormat="1" ht="26.1" customHeight="1">
      <c r="B186" s="934">
        <v>43834</v>
      </c>
      <c r="C186" s="1614" t="s">
        <v>3774</v>
      </c>
      <c r="D186" s="1614" t="s">
        <v>3772</v>
      </c>
      <c r="E186" s="1613" t="s">
        <v>347</v>
      </c>
      <c r="F186" s="1613">
        <v>2.4</v>
      </c>
    </row>
    <row r="187" spans="2:6" s="2" customFormat="1" ht="26.1" customHeight="1">
      <c r="B187" s="934">
        <v>43834</v>
      </c>
      <c r="C187" s="1614" t="s">
        <v>3783</v>
      </c>
      <c r="D187" s="1614" t="s">
        <v>3784</v>
      </c>
      <c r="E187" s="1613" t="s">
        <v>347</v>
      </c>
      <c r="F187" s="1613">
        <v>2.4</v>
      </c>
    </row>
    <row r="188" spans="2:6" s="2" customFormat="1" ht="26.1" customHeight="1">
      <c r="B188" s="934">
        <v>43834</v>
      </c>
      <c r="C188" s="1614" t="s">
        <v>3785</v>
      </c>
      <c r="D188" s="1614" t="s">
        <v>3786</v>
      </c>
      <c r="E188" s="1613" t="s">
        <v>347</v>
      </c>
      <c r="F188" s="1613">
        <v>2.4</v>
      </c>
    </row>
    <row r="189" spans="2:6" s="2" customFormat="1" ht="26.1" customHeight="1">
      <c r="B189" s="934">
        <v>43834</v>
      </c>
      <c r="C189" s="1614" t="s">
        <v>3791</v>
      </c>
      <c r="D189" s="1614" t="s">
        <v>3792</v>
      </c>
      <c r="E189" s="1613" t="s">
        <v>347</v>
      </c>
      <c r="F189" s="1613">
        <v>2.4</v>
      </c>
    </row>
    <row r="190" spans="2:6" s="2" customFormat="1" ht="26.1" customHeight="1">
      <c r="B190" s="934">
        <v>43834</v>
      </c>
      <c r="C190" s="1614" t="s">
        <v>3794</v>
      </c>
      <c r="D190" s="1614" t="s">
        <v>3793</v>
      </c>
      <c r="E190" s="1613" t="s">
        <v>347</v>
      </c>
      <c r="F190" s="1613">
        <v>2.4</v>
      </c>
    </row>
    <row r="191" spans="2:6" s="2" customFormat="1" ht="26.1" customHeight="1">
      <c r="B191" s="934">
        <v>43834</v>
      </c>
      <c r="C191" s="1614" t="s">
        <v>3796</v>
      </c>
      <c r="D191" s="1614" t="s">
        <v>3797</v>
      </c>
      <c r="E191" s="1613" t="s">
        <v>347</v>
      </c>
      <c r="F191" s="1613">
        <v>2.4</v>
      </c>
    </row>
    <row r="192" spans="2:6" s="2" customFormat="1" ht="26.1" customHeight="1">
      <c r="B192" s="934">
        <v>43837</v>
      </c>
      <c r="C192" s="1614" t="s">
        <v>3805</v>
      </c>
      <c r="D192" s="1614" t="s">
        <v>3804</v>
      </c>
      <c r="E192" s="1613" t="s">
        <v>347</v>
      </c>
      <c r="F192" s="1613">
        <v>2.4</v>
      </c>
    </row>
    <row r="193" spans="2:6" s="2" customFormat="1" ht="26.1" customHeight="1">
      <c r="B193" s="934">
        <v>43840</v>
      </c>
      <c r="C193" s="1614" t="s">
        <v>3806</v>
      </c>
      <c r="D193" s="1614" t="s">
        <v>3807</v>
      </c>
      <c r="E193" s="1613" t="s">
        <v>347</v>
      </c>
      <c r="F193" s="1613">
        <v>2.4</v>
      </c>
    </row>
    <row r="194" spans="2:6" s="2" customFormat="1" ht="26.1" customHeight="1">
      <c r="B194" s="934">
        <v>43841</v>
      </c>
      <c r="C194" s="1614" t="s">
        <v>3821</v>
      </c>
      <c r="D194" s="1614" t="s">
        <v>3822</v>
      </c>
      <c r="E194" s="1613" t="s">
        <v>347</v>
      </c>
      <c r="F194" s="1613">
        <v>2.4</v>
      </c>
    </row>
    <row r="195" spans="2:6" s="2" customFormat="1" ht="26.1" customHeight="1">
      <c r="B195" s="934">
        <v>43841</v>
      </c>
      <c r="C195" s="1614" t="s">
        <v>3823</v>
      </c>
      <c r="D195" s="1614" t="s">
        <v>3824</v>
      </c>
      <c r="E195" s="1613" t="s">
        <v>347</v>
      </c>
      <c r="F195" s="1613">
        <v>2.4</v>
      </c>
    </row>
    <row r="196" spans="2:6" s="2" customFormat="1" ht="26.1" customHeight="1">
      <c r="B196" s="934">
        <v>43897</v>
      </c>
      <c r="C196" s="1614" t="s">
        <v>3826</v>
      </c>
      <c r="D196" s="1614" t="s">
        <v>3825</v>
      </c>
      <c r="E196" s="1613" t="s">
        <v>347</v>
      </c>
      <c r="F196" s="1613">
        <v>2.4</v>
      </c>
    </row>
    <row r="197" spans="2:6" s="2" customFormat="1" ht="26.1" customHeight="1">
      <c r="B197" s="934">
        <v>43966</v>
      </c>
      <c r="C197" s="1614" t="s">
        <v>3912</v>
      </c>
      <c r="D197" s="1614" t="s">
        <v>3913</v>
      </c>
      <c r="E197" s="1613" t="s">
        <v>347</v>
      </c>
      <c r="F197" s="1613">
        <v>2.4</v>
      </c>
    </row>
    <row r="198" spans="2:6" s="2" customFormat="1" ht="26.1" customHeight="1">
      <c r="B198" s="934">
        <v>43966</v>
      </c>
      <c r="C198" s="1614" t="s">
        <v>3915</v>
      </c>
      <c r="D198" s="1614" t="s">
        <v>3914</v>
      </c>
      <c r="E198" s="1613" t="s">
        <v>347</v>
      </c>
      <c r="F198" s="1613">
        <v>2.4</v>
      </c>
    </row>
    <row r="199" spans="2:6" s="2" customFormat="1" ht="26.1" customHeight="1">
      <c r="B199" s="934">
        <v>44169</v>
      </c>
      <c r="C199" s="1614" t="s">
        <v>3917</v>
      </c>
      <c r="D199" s="1614" t="s">
        <v>3918</v>
      </c>
      <c r="E199" s="1613" t="s">
        <v>347</v>
      </c>
      <c r="F199" s="1613">
        <v>2.5</v>
      </c>
    </row>
    <row r="200" spans="2:6" s="2" customFormat="1" ht="26.1" customHeight="1">
      <c r="B200" s="934">
        <v>44169</v>
      </c>
      <c r="C200" s="1614" t="s">
        <v>3920</v>
      </c>
      <c r="D200" s="1614" t="s">
        <v>3921</v>
      </c>
      <c r="E200" s="1613" t="s">
        <v>347</v>
      </c>
      <c r="F200" s="1613">
        <v>2.5</v>
      </c>
    </row>
    <row r="201" spans="2:6" s="2" customFormat="1" ht="26.1" customHeight="1">
      <c r="B201" s="934">
        <v>44169</v>
      </c>
      <c r="C201" s="1614" t="s">
        <v>3922</v>
      </c>
      <c r="D201" s="1614" t="s">
        <v>3923</v>
      </c>
      <c r="E201" s="1613" t="s">
        <v>347</v>
      </c>
      <c r="F201" s="1613">
        <v>2.5</v>
      </c>
    </row>
    <row r="202" spans="2:6" s="2" customFormat="1" ht="26.1" customHeight="1">
      <c r="B202" s="934">
        <v>44170</v>
      </c>
      <c r="C202" s="1614" t="s">
        <v>3927</v>
      </c>
      <c r="D202" s="1614" t="s">
        <v>3925</v>
      </c>
      <c r="E202" s="1613" t="s">
        <v>347</v>
      </c>
      <c r="F202" s="1613">
        <v>2.5</v>
      </c>
    </row>
    <row r="203" spans="2:6" s="2" customFormat="1" ht="26.1" customHeight="1">
      <c r="B203" s="934">
        <v>44170</v>
      </c>
      <c r="C203" s="1614" t="s">
        <v>3928</v>
      </c>
      <c r="D203" s="1614" t="s">
        <v>3926</v>
      </c>
      <c r="E203" s="1613" t="s">
        <v>347</v>
      </c>
      <c r="F203" s="1613">
        <v>2.5</v>
      </c>
    </row>
    <row r="204" spans="2:6" s="2" customFormat="1" ht="26.1" customHeight="1">
      <c r="B204" s="934">
        <v>44170</v>
      </c>
      <c r="C204" s="1614" t="s">
        <v>3929</v>
      </c>
      <c r="D204" s="1614" t="s">
        <v>3930</v>
      </c>
      <c r="E204" s="1613" t="s">
        <v>347</v>
      </c>
      <c r="F204" s="1613">
        <v>2.5</v>
      </c>
    </row>
    <row r="205" spans="2:6" s="2" customFormat="1" ht="26.1" customHeight="1">
      <c r="B205" s="934">
        <v>44172</v>
      </c>
      <c r="C205" s="1614" t="s">
        <v>3935</v>
      </c>
      <c r="D205" s="1614" t="s">
        <v>3919</v>
      </c>
      <c r="E205" s="1613" t="s">
        <v>347</v>
      </c>
      <c r="F205" s="1613">
        <v>2.5</v>
      </c>
    </row>
    <row r="206" spans="2:6" s="2" customFormat="1" ht="26.1" customHeight="1">
      <c r="B206" s="934">
        <v>44172</v>
      </c>
      <c r="C206" s="1614" t="s">
        <v>3936</v>
      </c>
      <c r="D206" s="1614" t="s">
        <v>3919</v>
      </c>
      <c r="E206" s="1613" t="s">
        <v>347</v>
      </c>
      <c r="F206" s="1613">
        <v>2.5</v>
      </c>
    </row>
    <row r="207" spans="2:6" s="2" customFormat="1" ht="26.1" customHeight="1">
      <c r="B207" s="934">
        <v>44172</v>
      </c>
      <c r="C207" s="1614" t="s">
        <v>3937</v>
      </c>
      <c r="D207" s="1614" t="s">
        <v>3919</v>
      </c>
      <c r="E207" s="1613" t="s">
        <v>347</v>
      </c>
      <c r="F207" s="1613">
        <v>2.5</v>
      </c>
    </row>
    <row r="208" spans="2:6" s="2" customFormat="1" ht="26.1" customHeight="1">
      <c r="B208" s="934">
        <v>44172</v>
      </c>
      <c r="C208" s="1614" t="s">
        <v>3938</v>
      </c>
      <c r="D208" s="1614" t="s">
        <v>3919</v>
      </c>
      <c r="E208" s="1613" t="s">
        <v>347</v>
      </c>
      <c r="F208" s="1613">
        <v>2.5</v>
      </c>
    </row>
    <row r="209" spans="2:6" s="2" customFormat="1" ht="26.1" customHeight="1">
      <c r="B209" s="934">
        <v>44172</v>
      </c>
      <c r="C209" s="1614" t="s">
        <v>3939</v>
      </c>
      <c r="D209" s="1614" t="s">
        <v>3919</v>
      </c>
      <c r="E209" s="1613" t="s">
        <v>347</v>
      </c>
      <c r="F209" s="1613">
        <v>2.5</v>
      </c>
    </row>
    <row r="210" spans="2:6" s="2" customFormat="1" ht="26.1" customHeight="1">
      <c r="B210" s="934">
        <v>44173</v>
      </c>
      <c r="C210" s="1614" t="s">
        <v>3940</v>
      </c>
      <c r="D210" s="1614" t="s">
        <v>3919</v>
      </c>
      <c r="E210" s="1613" t="s">
        <v>347</v>
      </c>
      <c r="F210" s="1613">
        <v>2.5</v>
      </c>
    </row>
    <row r="211" spans="2:6" s="2" customFormat="1" ht="26.1" customHeight="1">
      <c r="B211" s="934">
        <v>44173</v>
      </c>
      <c r="C211" s="1614" t="s">
        <v>3944</v>
      </c>
      <c r="D211" s="1614" t="s">
        <v>3943</v>
      </c>
      <c r="E211" s="1613" t="s">
        <v>347</v>
      </c>
      <c r="F211" s="1613">
        <v>2.5</v>
      </c>
    </row>
    <row r="212" spans="2:6" s="2" customFormat="1" ht="26.1" customHeight="1">
      <c r="B212" s="934">
        <v>44177</v>
      </c>
      <c r="C212" s="1614" t="s">
        <v>3947</v>
      </c>
      <c r="D212" s="1614" t="s">
        <v>3919</v>
      </c>
      <c r="E212" s="1613" t="s">
        <v>347</v>
      </c>
      <c r="F212" s="1613">
        <v>2.5</v>
      </c>
    </row>
    <row r="213" spans="2:6" s="2" customFormat="1" ht="26.1" customHeight="1">
      <c r="B213" s="934">
        <v>44186</v>
      </c>
      <c r="C213" s="1614" t="s">
        <v>3949</v>
      </c>
      <c r="D213" s="1614" t="s">
        <v>3948</v>
      </c>
      <c r="E213" s="1613" t="s">
        <v>347</v>
      </c>
      <c r="F213" s="1613">
        <v>2.5</v>
      </c>
    </row>
    <row r="214" spans="2:6" s="2" customFormat="1" ht="26.1" customHeight="1">
      <c r="B214" s="934">
        <v>44186</v>
      </c>
      <c r="C214" s="1614" t="s">
        <v>3952</v>
      </c>
      <c r="D214" s="1614" t="s">
        <v>3951</v>
      </c>
      <c r="E214" s="1613" t="s">
        <v>347</v>
      </c>
      <c r="F214" s="1613">
        <v>2.5</v>
      </c>
    </row>
    <row r="215" spans="2:6" s="2" customFormat="1" ht="26.1" customHeight="1">
      <c r="B215" s="934">
        <v>44187</v>
      </c>
      <c r="C215" s="1614" t="s">
        <v>3954</v>
      </c>
      <c r="D215" s="1614" t="s">
        <v>3951</v>
      </c>
      <c r="E215" s="1613" t="s">
        <v>347</v>
      </c>
      <c r="F215" s="1613">
        <v>2.5</v>
      </c>
    </row>
    <row r="216" spans="2:6" s="2" customFormat="1" ht="26.1" customHeight="1">
      <c r="B216" s="934">
        <v>44363</v>
      </c>
      <c r="C216" s="1614" t="s">
        <v>3993</v>
      </c>
      <c r="D216" s="1614" t="s">
        <v>3998</v>
      </c>
      <c r="E216" s="1613" t="s">
        <v>347</v>
      </c>
      <c r="F216" s="1613">
        <v>2.6</v>
      </c>
    </row>
    <row r="217" spans="2:6" s="2" customFormat="1" ht="26.1" customHeight="1">
      <c r="B217" s="934">
        <v>44363</v>
      </c>
      <c r="C217" s="1614" t="s">
        <v>3994</v>
      </c>
      <c r="D217" s="1614" t="s">
        <v>3995</v>
      </c>
      <c r="E217" s="1613" t="s">
        <v>347</v>
      </c>
      <c r="F217" s="1613">
        <v>2.6</v>
      </c>
    </row>
    <row r="218" spans="2:6" s="2" customFormat="1" ht="26.1" customHeight="1">
      <c r="B218" s="934">
        <v>44363</v>
      </c>
      <c r="C218" s="1614" t="s">
        <v>3996</v>
      </c>
      <c r="D218" s="1614" t="s">
        <v>3997</v>
      </c>
      <c r="E218" s="1613" t="s">
        <v>347</v>
      </c>
      <c r="F218" s="1613">
        <v>2.6</v>
      </c>
    </row>
    <row r="219" spans="2:6" s="2" customFormat="1" ht="26.1" customHeight="1">
      <c r="B219" s="934">
        <v>44363</v>
      </c>
      <c r="C219" s="1614" t="s">
        <v>3999</v>
      </c>
      <c r="D219" s="1614" t="s">
        <v>3998</v>
      </c>
      <c r="E219" s="1613" t="s">
        <v>347</v>
      </c>
      <c r="F219" s="1613">
        <v>2.6</v>
      </c>
    </row>
    <row r="220" spans="2:6" s="2" customFormat="1" ht="26.1" customHeight="1">
      <c r="B220" s="934">
        <v>44363</v>
      </c>
      <c r="C220" s="1614" t="s">
        <v>4000</v>
      </c>
      <c r="D220" s="1614" t="s">
        <v>4001</v>
      </c>
      <c r="E220" s="1613" t="s">
        <v>347</v>
      </c>
      <c r="F220" s="1613">
        <v>2.6</v>
      </c>
    </row>
    <row r="221" spans="2:6" s="2" customFormat="1" ht="26.1" customHeight="1">
      <c r="B221" s="934">
        <v>44364</v>
      </c>
      <c r="C221" s="1614" t="s">
        <v>4003</v>
      </c>
      <c r="D221" s="1614" t="s">
        <v>4002</v>
      </c>
      <c r="E221" s="1613" t="s">
        <v>347</v>
      </c>
      <c r="F221" s="1613">
        <v>2.6</v>
      </c>
    </row>
    <row r="222" spans="2:6" s="2" customFormat="1" ht="26.1" customHeight="1">
      <c r="B222" s="934">
        <v>44375</v>
      </c>
      <c r="C222" s="1614" t="s">
        <v>4018</v>
      </c>
      <c r="D222" s="1614" t="s">
        <v>4019</v>
      </c>
      <c r="E222" s="1613" t="s">
        <v>347</v>
      </c>
      <c r="F222" s="1613">
        <v>2.6</v>
      </c>
    </row>
    <row r="223" spans="2:6" s="2" customFormat="1" ht="26.1" customHeight="1">
      <c r="B223" s="934">
        <v>44443</v>
      </c>
      <c r="C223" s="1614" t="s">
        <v>4020</v>
      </c>
      <c r="D223" s="1614" t="s">
        <v>4021</v>
      </c>
      <c r="E223" s="1613" t="s">
        <v>347</v>
      </c>
      <c r="F223" s="1613">
        <v>2.6</v>
      </c>
    </row>
    <row r="224" spans="2:6" s="2" customFormat="1" ht="26.1" customHeight="1">
      <c r="B224" s="934">
        <v>44443</v>
      </c>
      <c r="C224" s="1614" t="s">
        <v>3920</v>
      </c>
      <c r="D224" s="1614" t="s">
        <v>4022</v>
      </c>
      <c r="E224" s="1613" t="s">
        <v>347</v>
      </c>
      <c r="F224" s="1613">
        <v>2.6</v>
      </c>
    </row>
    <row r="225" spans="2:6" s="2" customFormat="1" ht="26.1" customHeight="1">
      <c r="B225" s="934">
        <v>44560</v>
      </c>
      <c r="C225" s="1614" t="s">
        <v>4608</v>
      </c>
      <c r="D225" s="1614" t="s">
        <v>4609</v>
      </c>
      <c r="E225" s="1613" t="s">
        <v>347</v>
      </c>
      <c r="F225" s="935">
        <v>2.7</v>
      </c>
    </row>
    <row r="226" spans="2:6" s="2" customFormat="1" ht="26.1" customHeight="1">
      <c r="B226" s="934">
        <v>44560</v>
      </c>
      <c r="C226" s="1614" t="s">
        <v>4775</v>
      </c>
      <c r="D226" s="1614" t="s">
        <v>4776</v>
      </c>
      <c r="E226" s="1613" t="s">
        <v>347</v>
      </c>
      <c r="F226" s="1613">
        <v>2.7</v>
      </c>
    </row>
    <row r="227" spans="2:6" s="2" customFormat="1" ht="26.1" customHeight="1">
      <c r="B227" s="934">
        <v>44560</v>
      </c>
      <c r="C227" s="1614" t="s">
        <v>4777</v>
      </c>
      <c r="D227" s="1614" t="s">
        <v>4778</v>
      </c>
      <c r="E227" s="1613" t="s">
        <v>347</v>
      </c>
      <c r="F227" s="1613">
        <v>2.7</v>
      </c>
    </row>
    <row r="228" spans="2:6" s="2" customFormat="1" ht="26.1" customHeight="1">
      <c r="B228" s="934">
        <v>44560</v>
      </c>
      <c r="C228" s="1614" t="s">
        <v>4916</v>
      </c>
      <c r="D228" s="1614" t="s">
        <v>4610</v>
      </c>
      <c r="E228" s="1613" t="s">
        <v>347</v>
      </c>
      <c r="F228" s="1613">
        <v>2.7</v>
      </c>
    </row>
    <row r="229" spans="2:6" s="2" customFormat="1" ht="26.1" customHeight="1">
      <c r="B229" s="934">
        <v>44560</v>
      </c>
      <c r="C229" s="1614" t="s">
        <v>4779</v>
      </c>
      <c r="D229" s="1614" t="s">
        <v>4624</v>
      </c>
      <c r="E229" s="1613" t="s">
        <v>347</v>
      </c>
      <c r="F229" s="1613">
        <v>2.7</v>
      </c>
    </row>
    <row r="230" spans="2:6" s="2" customFormat="1" ht="26.1" customHeight="1">
      <c r="B230" s="934">
        <v>44560</v>
      </c>
      <c r="C230" s="1614" t="s">
        <v>4629</v>
      </c>
      <c r="D230" s="1614" t="s">
        <v>4628</v>
      </c>
      <c r="E230" s="1613" t="s">
        <v>347</v>
      </c>
      <c r="F230" s="1613">
        <v>2.7</v>
      </c>
    </row>
    <row r="231" spans="2:6" s="2" customFormat="1" ht="26.1" customHeight="1">
      <c r="B231" s="934">
        <v>44560</v>
      </c>
      <c r="C231" s="1614" t="s">
        <v>4645</v>
      </c>
      <c r="D231" s="1614" t="s">
        <v>4646</v>
      </c>
      <c r="E231" s="1613" t="s">
        <v>347</v>
      </c>
      <c r="F231" s="1613">
        <v>2.7</v>
      </c>
    </row>
    <row r="232" spans="2:6" s="2" customFormat="1" ht="26.1" customHeight="1">
      <c r="B232" s="934">
        <v>44565</v>
      </c>
      <c r="C232" s="1614" t="s">
        <v>4964</v>
      </c>
      <c r="D232" s="1614" t="s">
        <v>4754</v>
      </c>
      <c r="E232" s="1613" t="s">
        <v>347</v>
      </c>
      <c r="F232" s="1613">
        <v>2.7</v>
      </c>
    </row>
    <row r="233" spans="2:6" s="2" customFormat="1" ht="26.1" customHeight="1">
      <c r="B233" s="934">
        <v>44565</v>
      </c>
      <c r="C233" s="1614" t="s">
        <v>4780</v>
      </c>
      <c r="D233" s="1614" t="s">
        <v>4755</v>
      </c>
      <c r="E233" s="1613" t="s">
        <v>347</v>
      </c>
      <c r="F233" s="1613">
        <v>2.7</v>
      </c>
    </row>
    <row r="234" spans="2:6" s="2" customFormat="1" ht="26.1" customHeight="1">
      <c r="B234" s="934">
        <v>44568</v>
      </c>
      <c r="C234" s="1614" t="s">
        <v>4773</v>
      </c>
      <c r="D234" s="1614" t="s">
        <v>4774</v>
      </c>
      <c r="E234" s="1613" t="s">
        <v>347</v>
      </c>
      <c r="F234" s="1613">
        <v>2.7</v>
      </c>
    </row>
    <row r="235" spans="2:6" s="2" customFormat="1" ht="26.1" customHeight="1">
      <c r="B235" s="934">
        <v>44569</v>
      </c>
      <c r="C235" s="1614" t="s">
        <v>4915</v>
      </c>
      <c r="D235" s="1614" t="s">
        <v>4917</v>
      </c>
      <c r="E235" s="1613" t="s">
        <v>347</v>
      </c>
      <c r="F235" s="1613">
        <v>2.7</v>
      </c>
    </row>
    <row r="236" spans="2:6" s="2" customFormat="1" ht="26.1" customHeight="1">
      <c r="B236" s="934">
        <v>44641</v>
      </c>
      <c r="C236" s="1614" t="s">
        <v>4962</v>
      </c>
      <c r="D236" s="1614" t="s">
        <v>4963</v>
      </c>
      <c r="E236" s="1613" t="s">
        <v>347</v>
      </c>
      <c r="F236" s="1613">
        <v>2.7</v>
      </c>
    </row>
    <row r="237" spans="2:6" s="2" customFormat="1" ht="26.1" customHeight="1">
      <c r="B237" s="934">
        <v>44641</v>
      </c>
      <c r="C237" s="1614" t="s">
        <v>4915</v>
      </c>
      <c r="D237" s="1614" t="s">
        <v>4917</v>
      </c>
      <c r="E237" s="1613" t="s">
        <v>347</v>
      </c>
      <c r="F237" s="1613">
        <v>2.7</v>
      </c>
    </row>
    <row r="238" spans="2:6" s="2" customFormat="1" ht="26.1" customHeight="1">
      <c r="B238" s="2445">
        <v>44658</v>
      </c>
      <c r="C238" s="1330" t="s">
        <v>5006</v>
      </c>
      <c r="D238" s="1330" t="s">
        <v>5007</v>
      </c>
      <c r="E238" s="2446" t="s">
        <v>347</v>
      </c>
      <c r="F238" s="2446">
        <v>2.7</v>
      </c>
    </row>
    <row r="239" spans="2:6" s="2" customFormat="1" ht="26.1" customHeight="1">
      <c r="B239" s="934">
        <v>44842</v>
      </c>
      <c r="C239" s="1614" t="s">
        <v>5032</v>
      </c>
      <c r="D239" s="1614" t="s">
        <v>5030</v>
      </c>
      <c r="E239" s="2409" t="s">
        <v>347</v>
      </c>
      <c r="F239" s="935">
        <v>2.8</v>
      </c>
    </row>
    <row r="240" spans="2:6" s="2" customFormat="1" ht="26.1" customHeight="1">
      <c r="B240" s="934">
        <v>44842</v>
      </c>
      <c r="C240" s="1614" t="s">
        <v>5031</v>
      </c>
      <c r="D240" s="1614" t="s">
        <v>5033</v>
      </c>
      <c r="E240" s="2409" t="s">
        <v>347</v>
      </c>
      <c r="F240" s="1613">
        <v>2.8</v>
      </c>
    </row>
    <row r="241" spans="2:6" s="2" customFormat="1" ht="26.1" customHeight="1">
      <c r="B241" s="934">
        <v>44842</v>
      </c>
      <c r="C241" s="1614" t="s">
        <v>5034</v>
      </c>
      <c r="D241" s="1614" t="s">
        <v>5035</v>
      </c>
      <c r="E241" s="2409" t="s">
        <v>347</v>
      </c>
      <c r="F241" s="1613">
        <v>2.8</v>
      </c>
    </row>
    <row r="242" spans="2:6" s="2" customFormat="1" ht="26.1" customHeight="1">
      <c r="B242" s="934">
        <v>44842</v>
      </c>
      <c r="C242" s="1614" t="s">
        <v>5036</v>
      </c>
      <c r="D242" s="1614" t="s">
        <v>5035</v>
      </c>
      <c r="E242" s="2409" t="s">
        <v>347</v>
      </c>
      <c r="F242" s="1613">
        <v>2.8</v>
      </c>
    </row>
    <row r="243" spans="2:6" s="2" customFormat="1" ht="26.1" customHeight="1">
      <c r="B243" s="934">
        <v>44843</v>
      </c>
      <c r="C243" s="1614" t="s">
        <v>5038</v>
      </c>
      <c r="D243" s="1614" t="s">
        <v>5037</v>
      </c>
      <c r="E243" s="2448" t="s">
        <v>347</v>
      </c>
      <c r="F243" s="1613">
        <v>2.8</v>
      </c>
    </row>
    <row r="244" spans="2:6" s="2" customFormat="1" ht="26.1" customHeight="1">
      <c r="B244" s="934">
        <v>44849</v>
      </c>
      <c r="C244" s="1614" t="s">
        <v>5047</v>
      </c>
      <c r="D244" s="1614" t="s">
        <v>5048</v>
      </c>
      <c r="E244" s="2449" t="s">
        <v>347</v>
      </c>
      <c r="F244" s="935">
        <v>2.8</v>
      </c>
    </row>
    <row r="245" spans="2:6" s="2" customFormat="1" ht="26.1" customHeight="1">
      <c r="B245" s="934">
        <v>44849</v>
      </c>
      <c r="C245" s="1614" t="s">
        <v>5049</v>
      </c>
      <c r="D245" s="1614" t="s">
        <v>5050</v>
      </c>
      <c r="E245" s="2449" t="s">
        <v>347</v>
      </c>
      <c r="F245" s="1613">
        <v>2.8</v>
      </c>
    </row>
    <row r="246" spans="2:6" s="2" customFormat="1" ht="26.1" customHeight="1">
      <c r="B246" s="934">
        <v>44849</v>
      </c>
      <c r="C246" s="1614" t="s">
        <v>5051</v>
      </c>
      <c r="D246" s="1614" t="s">
        <v>5052</v>
      </c>
      <c r="E246" s="2449" t="s">
        <v>347</v>
      </c>
      <c r="F246" s="1613">
        <v>2.8</v>
      </c>
    </row>
    <row r="247" spans="2:6" s="2" customFormat="1" ht="26.1" customHeight="1">
      <c r="B247" s="934">
        <v>44849</v>
      </c>
      <c r="C247" s="1614" t="s">
        <v>5053</v>
      </c>
      <c r="D247" s="1614" t="s">
        <v>5054</v>
      </c>
      <c r="E247" s="2449" t="s">
        <v>347</v>
      </c>
      <c r="F247" s="1613">
        <v>2.8</v>
      </c>
    </row>
    <row r="248" spans="2:6" s="2" customFormat="1" ht="26.1" customHeight="1">
      <c r="B248" s="934">
        <v>44851</v>
      </c>
      <c r="C248" s="1614" t="s">
        <v>5180</v>
      </c>
      <c r="D248" s="1614" t="s">
        <v>5055</v>
      </c>
      <c r="E248" s="2467" t="s">
        <v>347</v>
      </c>
      <c r="F248" s="1613">
        <v>2.8</v>
      </c>
    </row>
    <row r="249" spans="2:6" s="2" customFormat="1" ht="26.1" customHeight="1">
      <c r="B249" s="934">
        <v>44863</v>
      </c>
      <c r="C249" s="1614" t="s">
        <v>5071</v>
      </c>
      <c r="D249" s="1614" t="s">
        <v>5072</v>
      </c>
      <c r="E249" s="2484" t="s">
        <v>347</v>
      </c>
      <c r="F249" s="1613">
        <v>2.8</v>
      </c>
    </row>
    <row r="250" spans="2:6" s="2" customFormat="1" ht="26.1" customHeight="1">
      <c r="B250" s="934">
        <v>44863</v>
      </c>
      <c r="C250" s="1614" t="s">
        <v>5073</v>
      </c>
      <c r="D250" s="1614" t="s">
        <v>5074</v>
      </c>
      <c r="E250" s="2484" t="s">
        <v>347</v>
      </c>
      <c r="F250" s="1613">
        <v>2.8</v>
      </c>
    </row>
    <row r="251" spans="2:6" s="2" customFormat="1" ht="26.1" customHeight="1">
      <c r="B251" s="934">
        <v>44870</v>
      </c>
      <c r="C251" s="1614" t="s">
        <v>5100</v>
      </c>
      <c r="D251" s="1614" t="s">
        <v>5101</v>
      </c>
      <c r="E251" s="2512" t="s">
        <v>347</v>
      </c>
      <c r="F251" s="1613">
        <v>2.8</v>
      </c>
    </row>
    <row r="252" spans="2:6" s="2" customFormat="1" ht="26.1" customHeight="1">
      <c r="B252" s="934">
        <v>44870</v>
      </c>
      <c r="C252" s="1614" t="s">
        <v>5102</v>
      </c>
      <c r="D252" s="1614" t="s">
        <v>5103</v>
      </c>
      <c r="E252" s="2512" t="s">
        <v>347</v>
      </c>
      <c r="F252" s="1613">
        <v>2.8</v>
      </c>
    </row>
    <row r="253" spans="2:6" s="2" customFormat="1" ht="26.1" customHeight="1">
      <c r="B253" s="934">
        <v>44870</v>
      </c>
      <c r="C253" s="1614" t="s">
        <v>5104</v>
      </c>
      <c r="D253" s="1614" t="s">
        <v>5105</v>
      </c>
      <c r="E253" s="2512" t="s">
        <v>347</v>
      </c>
      <c r="F253" s="1613">
        <v>2.8</v>
      </c>
    </row>
    <row r="254" spans="2:6" s="2" customFormat="1" ht="26.1" customHeight="1">
      <c r="B254" s="934">
        <v>44870</v>
      </c>
      <c r="C254" s="1614" t="s">
        <v>5106</v>
      </c>
      <c r="D254" s="1614" t="s">
        <v>5107</v>
      </c>
      <c r="E254" s="2512" t="s">
        <v>347</v>
      </c>
      <c r="F254" s="1613">
        <v>2.8</v>
      </c>
    </row>
    <row r="255" spans="2:6" s="2" customFormat="1" ht="26.1" customHeight="1">
      <c r="B255" s="934">
        <v>44879</v>
      </c>
      <c r="C255" s="1614" t="s">
        <v>5109</v>
      </c>
      <c r="D255" s="1614" t="s">
        <v>5110</v>
      </c>
      <c r="E255" s="2518" t="s">
        <v>347</v>
      </c>
      <c r="F255" s="1613">
        <v>2.8</v>
      </c>
    </row>
    <row r="256" spans="2:6" s="2" customFormat="1" ht="26.1" customHeight="1">
      <c r="B256" s="934">
        <v>44879</v>
      </c>
      <c r="C256" s="1614" t="s">
        <v>5112</v>
      </c>
      <c r="D256" s="1614" t="s">
        <v>5111</v>
      </c>
      <c r="E256" s="2518" t="s">
        <v>347</v>
      </c>
      <c r="F256" s="1613">
        <v>2.8</v>
      </c>
    </row>
    <row r="257" spans="2:6" s="2" customFormat="1" ht="26.1" customHeight="1">
      <c r="B257" s="934">
        <v>44895</v>
      </c>
      <c r="C257" s="1614" t="s">
        <v>5129</v>
      </c>
      <c r="D257" s="1614" t="s">
        <v>5130</v>
      </c>
      <c r="E257" s="2519" t="s">
        <v>347</v>
      </c>
      <c r="F257" s="1613">
        <v>2.8</v>
      </c>
    </row>
    <row r="258" spans="2:6" s="2" customFormat="1" ht="26.1" customHeight="1">
      <c r="B258" s="934">
        <v>44918</v>
      </c>
      <c r="C258" s="1614" t="s">
        <v>5132</v>
      </c>
      <c r="D258" s="1614" t="s">
        <v>5131</v>
      </c>
      <c r="E258" s="2520" t="s">
        <v>347</v>
      </c>
      <c r="F258" s="1613">
        <v>2.8</v>
      </c>
    </row>
    <row r="259" spans="2:6" s="2" customFormat="1" ht="26.1" customHeight="1">
      <c r="B259" s="934">
        <v>44918</v>
      </c>
      <c r="C259" s="1614" t="s">
        <v>5133</v>
      </c>
      <c r="D259" s="1614" t="s">
        <v>5134</v>
      </c>
      <c r="E259" s="2520" t="s">
        <v>347</v>
      </c>
      <c r="F259" s="1613">
        <v>2.8</v>
      </c>
    </row>
    <row r="260" spans="2:6" s="2" customFormat="1" ht="26.1" customHeight="1">
      <c r="B260" s="934">
        <v>44938</v>
      </c>
      <c r="C260" s="1614" t="s">
        <v>5135</v>
      </c>
      <c r="D260" s="1614" t="s">
        <v>5136</v>
      </c>
      <c r="E260" s="2521" t="s">
        <v>347</v>
      </c>
      <c r="F260" s="1613">
        <v>2.8</v>
      </c>
    </row>
    <row r="261" spans="2:6" s="2" customFormat="1" ht="26.1" customHeight="1">
      <c r="B261" s="934">
        <v>45093</v>
      </c>
      <c r="C261" s="1614" t="s">
        <v>5145</v>
      </c>
      <c r="D261" s="1614" t="s">
        <v>5146</v>
      </c>
      <c r="E261" s="2526" t="s">
        <v>347</v>
      </c>
      <c r="F261" s="1613">
        <v>2.8</v>
      </c>
    </row>
    <row r="262" spans="2:6" s="2" customFormat="1" ht="26.1" customHeight="1">
      <c r="B262" s="934">
        <v>45093</v>
      </c>
      <c r="C262" s="1614" t="s">
        <v>5147</v>
      </c>
      <c r="D262" s="1614" t="s">
        <v>5148</v>
      </c>
      <c r="E262" s="2526" t="s">
        <v>347</v>
      </c>
      <c r="F262" s="1613">
        <v>2.8</v>
      </c>
    </row>
    <row r="263" spans="2:6" s="2" customFormat="1" ht="26.1" customHeight="1">
      <c r="B263" s="934">
        <v>45093</v>
      </c>
      <c r="C263" s="1614" t="s">
        <v>5149</v>
      </c>
      <c r="D263" s="1614" t="s">
        <v>5150</v>
      </c>
      <c r="E263" s="2526" t="s">
        <v>347</v>
      </c>
      <c r="F263" s="1613">
        <v>2.8</v>
      </c>
    </row>
    <row r="264" spans="2:6" s="2" customFormat="1" ht="26.1" customHeight="1">
      <c r="B264" s="934">
        <v>45093</v>
      </c>
      <c r="C264" s="1614" t="s">
        <v>5151</v>
      </c>
      <c r="D264" s="1614" t="s">
        <v>5152</v>
      </c>
      <c r="E264" s="2526" t="s">
        <v>347</v>
      </c>
      <c r="F264" s="1613">
        <v>2.8</v>
      </c>
    </row>
    <row r="265" spans="2:6" s="2" customFormat="1" ht="26.1" customHeight="1">
      <c r="B265" s="934">
        <v>45111</v>
      </c>
      <c r="C265" s="1614" t="s">
        <v>5153</v>
      </c>
      <c r="D265" s="1614" t="s">
        <v>5154</v>
      </c>
      <c r="E265" s="2527" t="s">
        <v>347</v>
      </c>
      <c r="F265" s="1613">
        <v>2.8</v>
      </c>
    </row>
    <row r="266" spans="2:6" s="2" customFormat="1" ht="26.1" customHeight="1">
      <c r="B266" s="934">
        <v>45111</v>
      </c>
      <c r="C266" s="1614" t="s">
        <v>5155</v>
      </c>
      <c r="D266" s="1614" t="s">
        <v>5156</v>
      </c>
      <c r="E266" s="2527" t="s">
        <v>347</v>
      </c>
      <c r="F266" s="1613">
        <v>2.8</v>
      </c>
    </row>
    <row r="267" spans="2:6" s="2" customFormat="1" ht="26.1" customHeight="1">
      <c r="B267" s="934">
        <v>45117</v>
      </c>
      <c r="C267" s="1614" t="s">
        <v>5157</v>
      </c>
      <c r="D267" s="1614" t="s">
        <v>5158</v>
      </c>
      <c r="E267" s="2528" t="s">
        <v>347</v>
      </c>
      <c r="F267" s="1613">
        <v>2.8</v>
      </c>
    </row>
    <row r="268" spans="2:6" s="2" customFormat="1" ht="26.1" customHeight="1">
      <c r="B268" s="934">
        <v>45187</v>
      </c>
      <c r="C268" s="1614" t="s">
        <v>5163</v>
      </c>
      <c r="D268" s="1614" t="s">
        <v>5164</v>
      </c>
      <c r="E268" s="2531" t="s">
        <v>347</v>
      </c>
      <c r="F268" s="1613">
        <v>2.8</v>
      </c>
    </row>
    <row r="269" spans="2:6" s="2" customFormat="1" ht="26.1" customHeight="1">
      <c r="B269" s="934">
        <v>45187</v>
      </c>
      <c r="C269" s="1614" t="s">
        <v>5165</v>
      </c>
      <c r="D269" s="1614" t="s">
        <v>5166</v>
      </c>
      <c r="E269" s="2531" t="s">
        <v>347</v>
      </c>
      <c r="F269" s="1613">
        <v>2.8</v>
      </c>
    </row>
    <row r="270" spans="2:6" s="2" customFormat="1" ht="26.1" customHeight="1">
      <c r="B270" s="934">
        <v>45187</v>
      </c>
      <c r="C270" s="1614" t="s">
        <v>5167</v>
      </c>
      <c r="D270" s="1614" t="s">
        <v>5166</v>
      </c>
      <c r="E270" s="2531" t="s">
        <v>347</v>
      </c>
      <c r="F270" s="1613">
        <v>2.8</v>
      </c>
    </row>
    <row r="271" spans="2:6" s="2" customFormat="1" ht="26.1" customHeight="1">
      <c r="B271" s="2445">
        <v>45187</v>
      </c>
      <c r="C271" s="1330" t="s">
        <v>5168</v>
      </c>
      <c r="D271" s="1330" t="s">
        <v>5169</v>
      </c>
      <c r="E271" s="2553" t="s">
        <v>347</v>
      </c>
      <c r="F271" s="2446">
        <v>2.8</v>
      </c>
    </row>
    <row r="272" spans="2:6" s="2" customFormat="1" ht="26.1" customHeight="1">
      <c r="B272" s="934">
        <v>45334</v>
      </c>
      <c r="C272" s="1614" t="s">
        <v>5176</v>
      </c>
      <c r="D272" s="1614" t="s">
        <v>5177</v>
      </c>
      <c r="E272" s="2548" t="s">
        <v>347</v>
      </c>
      <c r="F272" s="935">
        <v>2.9</v>
      </c>
    </row>
    <row r="273" spans="2:6" s="2" customFormat="1" ht="26.1" customHeight="1">
      <c r="B273" s="934">
        <v>45334</v>
      </c>
      <c r="C273" s="1614" t="s">
        <v>5178</v>
      </c>
      <c r="D273" s="1614" t="s">
        <v>5179</v>
      </c>
      <c r="E273" s="2548" t="s">
        <v>347</v>
      </c>
      <c r="F273" s="1613">
        <v>2.9</v>
      </c>
    </row>
    <row r="274" spans="2:6" s="2" customFormat="1" ht="26.1" customHeight="1">
      <c r="B274" s="934">
        <v>45334</v>
      </c>
      <c r="C274" s="1614" t="s">
        <v>5184</v>
      </c>
      <c r="D274" s="1614" t="s">
        <v>5183</v>
      </c>
      <c r="E274" s="2548" t="s">
        <v>347</v>
      </c>
      <c r="F274" s="1613">
        <v>2.9</v>
      </c>
    </row>
    <row r="275" spans="2:6" s="2" customFormat="1" ht="26.1" customHeight="1">
      <c r="B275" s="934">
        <v>45334</v>
      </c>
      <c r="C275" s="1614" t="s">
        <v>5181</v>
      </c>
      <c r="D275" s="1614" t="s">
        <v>5182</v>
      </c>
      <c r="E275" s="2548" t="s">
        <v>347</v>
      </c>
      <c r="F275" s="1613">
        <v>2.9</v>
      </c>
    </row>
    <row r="276" spans="2:6" s="2" customFormat="1" ht="26.1" customHeight="1">
      <c r="B276" s="934">
        <v>45420</v>
      </c>
      <c r="C276" s="1614" t="s">
        <v>5186</v>
      </c>
      <c r="D276" s="1614" t="s">
        <v>5187</v>
      </c>
      <c r="E276" s="2549" t="s">
        <v>347</v>
      </c>
      <c r="F276" s="1613">
        <v>2.91</v>
      </c>
    </row>
    <row r="277" spans="2:6" s="2" customFormat="1" ht="26.1" customHeight="1">
      <c r="B277" s="934">
        <v>45420</v>
      </c>
      <c r="C277" s="1614" t="s">
        <v>5188</v>
      </c>
      <c r="D277" s="1614" t="s">
        <v>5189</v>
      </c>
      <c r="E277" s="2554" t="s">
        <v>347</v>
      </c>
      <c r="F277" s="1613">
        <v>2.91</v>
      </c>
    </row>
    <row r="278" spans="2:6" s="2" customFormat="1" ht="26.1" customHeight="1">
      <c r="B278" s="934">
        <v>45420</v>
      </c>
      <c r="C278" s="1614" t="s">
        <v>5192</v>
      </c>
      <c r="D278" s="1614" t="s">
        <v>5193</v>
      </c>
      <c r="E278" s="2555" t="s">
        <v>347</v>
      </c>
      <c r="F278" s="1613">
        <v>2.91</v>
      </c>
    </row>
    <row r="279" spans="2:6" s="2" customFormat="1" ht="26.1" customHeight="1">
      <c r="B279" s="934">
        <v>45470</v>
      </c>
      <c r="C279" s="1614" t="s">
        <v>5194</v>
      </c>
      <c r="D279" s="1614" t="s">
        <v>5195</v>
      </c>
      <c r="E279" s="2556" t="s">
        <v>347</v>
      </c>
      <c r="F279" s="1613">
        <v>2.92</v>
      </c>
    </row>
    <row r="280" spans="2:6" s="2" customFormat="1" ht="26.1" customHeight="1">
      <c r="B280" s="936">
        <v>45476</v>
      </c>
      <c r="C280" s="1614" t="s">
        <v>5196</v>
      </c>
      <c r="D280" s="1614" t="s">
        <v>5197</v>
      </c>
      <c r="E280" s="2557" t="s">
        <v>347</v>
      </c>
      <c r="F280" s="1613">
        <v>2.93</v>
      </c>
    </row>
    <row r="281" spans="2:6" s="2" customFormat="1" ht="26.1" customHeight="1">
      <c r="B281" s="936">
        <v>45545</v>
      </c>
      <c r="C281" s="1614" t="s">
        <v>5198</v>
      </c>
      <c r="D281" s="1614" t="s">
        <v>5199</v>
      </c>
      <c r="E281" s="2558" t="s">
        <v>347</v>
      </c>
      <c r="F281" s="1613">
        <v>2.94</v>
      </c>
    </row>
    <row r="282" spans="2:6" s="2" customFormat="1" ht="26.1" customHeight="1">
      <c r="B282" s="936">
        <v>45804</v>
      </c>
      <c r="C282" s="1614" t="s">
        <v>5201</v>
      </c>
      <c r="D282" s="1614" t="s">
        <v>5200</v>
      </c>
      <c r="E282" s="2561" t="s">
        <v>347</v>
      </c>
      <c r="F282" s="937">
        <v>2.95</v>
      </c>
    </row>
    <row r="283" spans="2:6" s="2" customFormat="1" ht="26.1" customHeight="1">
      <c r="B283" s="936">
        <v>45996</v>
      </c>
      <c r="C283" s="1614" t="s">
        <v>5315</v>
      </c>
      <c r="D283" s="1614" t="s">
        <v>5238</v>
      </c>
      <c r="E283" s="2568" t="s">
        <v>347</v>
      </c>
      <c r="F283" s="937">
        <v>2.96</v>
      </c>
    </row>
    <row r="284" spans="2:6" s="2" customFormat="1" ht="26.1" customHeight="1">
      <c r="B284" s="936">
        <v>45996</v>
      </c>
      <c r="C284" s="1614" t="s">
        <v>5315</v>
      </c>
      <c r="D284" s="1614" t="s">
        <v>5238</v>
      </c>
      <c r="E284" s="2568" t="s">
        <v>347</v>
      </c>
      <c r="F284" s="937">
        <v>2.96</v>
      </c>
    </row>
    <row r="285" spans="2:6" s="2" customFormat="1" ht="26.1" customHeight="1">
      <c r="B285" s="936">
        <v>45996</v>
      </c>
      <c r="C285" s="1614" t="s">
        <v>5239</v>
      </c>
      <c r="D285" s="1614" t="s">
        <v>5240</v>
      </c>
      <c r="E285" s="2568" t="s">
        <v>347</v>
      </c>
      <c r="F285" s="937">
        <v>2.96</v>
      </c>
    </row>
    <row r="286" spans="2:6" s="2" customFormat="1" ht="26.1" customHeight="1">
      <c r="B286" s="936">
        <v>45996</v>
      </c>
      <c r="C286" s="1614" t="s">
        <v>5241</v>
      </c>
      <c r="D286" s="1614" t="s">
        <v>5242</v>
      </c>
      <c r="E286" s="2568" t="s">
        <v>347</v>
      </c>
      <c r="F286" s="937">
        <v>2.96</v>
      </c>
    </row>
    <row r="287" spans="2:6" s="2" customFormat="1" ht="26.1" customHeight="1">
      <c r="B287" s="936">
        <v>45996</v>
      </c>
      <c r="C287" s="1614" t="s">
        <v>5314</v>
      </c>
      <c r="D287" s="1614" t="s">
        <v>5256</v>
      </c>
      <c r="E287" s="2568" t="s">
        <v>347</v>
      </c>
      <c r="F287" s="937">
        <v>2.96</v>
      </c>
    </row>
    <row r="288" spans="2:6" s="2" customFormat="1" ht="26.1" customHeight="1">
      <c r="B288" s="936">
        <v>45996</v>
      </c>
      <c r="C288" s="1614" t="s">
        <v>5243</v>
      </c>
      <c r="D288" s="1614" t="s">
        <v>5244</v>
      </c>
      <c r="E288" s="2569" t="s">
        <v>347</v>
      </c>
      <c r="F288" s="937">
        <v>2.96</v>
      </c>
    </row>
    <row r="289" spans="2:6" s="2" customFormat="1" ht="26.1" customHeight="1">
      <c r="B289" s="936">
        <v>45999</v>
      </c>
      <c r="C289" s="1614" t="s">
        <v>5250</v>
      </c>
      <c r="D289" s="1614" t="s">
        <v>5251</v>
      </c>
      <c r="E289" s="2584" t="s">
        <v>347</v>
      </c>
      <c r="F289" s="937">
        <v>2.96</v>
      </c>
    </row>
    <row r="290" spans="2:6" s="2" customFormat="1" ht="26.1" customHeight="1">
      <c r="B290" s="934">
        <v>46002</v>
      </c>
      <c r="C290" s="1614" t="s">
        <v>5313</v>
      </c>
      <c r="D290" s="1614" t="s">
        <v>5255</v>
      </c>
      <c r="E290" s="2588" t="s">
        <v>347</v>
      </c>
      <c r="F290" s="937">
        <v>2.96</v>
      </c>
    </row>
    <row r="291" spans="2:6" s="2" customFormat="1" ht="26.1" customHeight="1">
      <c r="B291" s="934">
        <v>46007</v>
      </c>
      <c r="C291" s="1614" t="s">
        <v>5312</v>
      </c>
      <c r="D291" s="1614" t="s">
        <v>5280</v>
      </c>
      <c r="E291" s="2589" t="s">
        <v>347</v>
      </c>
      <c r="F291" s="937">
        <v>2.96</v>
      </c>
    </row>
    <row r="292" spans="2:6" s="2" customFormat="1" ht="26.1" customHeight="1">
      <c r="B292" s="934">
        <v>46007</v>
      </c>
      <c r="C292" s="1614" t="s">
        <v>5311</v>
      </c>
      <c r="D292" s="1614" t="s">
        <v>5281</v>
      </c>
      <c r="E292" s="2589" t="s">
        <v>347</v>
      </c>
      <c r="F292" s="937">
        <v>2.96</v>
      </c>
    </row>
    <row r="293" spans="2:6" s="2" customFormat="1" ht="26.1" customHeight="1">
      <c r="B293" s="934">
        <v>46009</v>
      </c>
      <c r="C293" s="1614" t="s">
        <v>5310</v>
      </c>
      <c r="D293" s="1614" t="s">
        <v>5282</v>
      </c>
      <c r="E293" s="2593" t="s">
        <v>347</v>
      </c>
      <c r="F293" s="937">
        <v>2.96</v>
      </c>
    </row>
    <row r="294" spans="2:6" s="2" customFormat="1" ht="26.1" customHeight="1">
      <c r="B294" s="934">
        <v>46270</v>
      </c>
      <c r="C294" s="1614" t="s">
        <v>5309</v>
      </c>
      <c r="D294" s="1614" t="s">
        <v>5290</v>
      </c>
      <c r="E294" s="2601" t="s">
        <v>347</v>
      </c>
      <c r="F294" s="937">
        <v>2.97</v>
      </c>
    </row>
    <row r="295" spans="2:6" s="2" customFormat="1" ht="26.1" customHeight="1">
      <c r="B295" s="934">
        <v>46277</v>
      </c>
      <c r="C295" s="1614" t="s">
        <v>5316</v>
      </c>
      <c r="D295" s="1614" t="s">
        <v>5317</v>
      </c>
      <c r="E295" s="2602" t="s">
        <v>5318</v>
      </c>
      <c r="F295" s="937">
        <v>2.97</v>
      </c>
    </row>
    <row r="296" spans="2:6" s="2" customFormat="1" ht="26.1" customHeight="1">
      <c r="B296" s="934">
        <v>46277</v>
      </c>
      <c r="C296" s="1614" t="s">
        <v>5319</v>
      </c>
      <c r="D296" s="1614" t="s">
        <v>5321</v>
      </c>
      <c r="E296" s="2602" t="s">
        <v>5320</v>
      </c>
      <c r="F296" s="937">
        <v>2.97</v>
      </c>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122" t="str">
        <f>Uebersetzung!$D$607</f>
        <v>Zusatzangaben</v>
      </c>
      <c r="G2" s="3122"/>
      <c r="H2" s="3122"/>
      <c r="I2" s="3123"/>
      <c r="J2" s="2222"/>
    </row>
    <row r="3" spans="1:46" ht="17.25" customHeight="1">
      <c r="B3" s="2082"/>
      <c r="C3" s="2083"/>
      <c r="D3" s="2083"/>
      <c r="E3" s="2083"/>
      <c r="F3" s="3124" t="str">
        <f>Uebersetzung!$D$610</f>
        <v>zur Erstellung von Neubauten</v>
      </c>
      <c r="G3" s="3124"/>
      <c r="H3" s="3124"/>
      <c r="I3" s="3125"/>
      <c r="J3" s="2223"/>
      <c r="Q3" s="2268" t="s">
        <v>650</v>
      </c>
      <c r="R3" s="2269"/>
      <c r="S3" s="2269"/>
      <c r="T3" s="2269"/>
      <c r="U3" s="2269"/>
      <c r="V3" s="2269"/>
      <c r="W3" s="2269"/>
      <c r="X3" s="2269"/>
      <c r="Y3" s="2270"/>
      <c r="AA3" s="3155" t="s">
        <v>4577</v>
      </c>
      <c r="AB3" s="3156"/>
      <c r="AC3" s="3154" t="s">
        <v>4647</v>
      </c>
      <c r="AD3" s="3154"/>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157"/>
      <c r="AB4" s="3158"/>
      <c r="AC4" s="3158"/>
      <c r="AD4" s="3158"/>
      <c r="AE4" s="3129"/>
      <c r="AF4" s="2090"/>
      <c r="AG4" s="2088" t="s">
        <v>4738</v>
      </c>
      <c r="AH4" s="2083"/>
      <c r="AI4" s="2083"/>
      <c r="AJ4" s="2083"/>
      <c r="AK4" s="2083"/>
      <c r="AL4" s="2083"/>
    </row>
    <row r="5" spans="1:46">
      <c r="Q5" s="2274"/>
      <c r="R5" s="2275"/>
      <c r="S5" s="2275"/>
      <c r="T5" s="2275"/>
      <c r="U5" s="2275"/>
      <c r="V5" s="2275"/>
      <c r="W5" s="2275"/>
      <c r="X5" s="2275"/>
      <c r="Y5" s="2276"/>
      <c r="AA5" s="3159"/>
      <c r="AB5" s="3160"/>
      <c r="AC5" s="3160"/>
      <c r="AD5" s="3160"/>
      <c r="AE5" s="3130"/>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4156</v>
      </c>
      <c r="S6" s="2065" t="s">
        <v>4157</v>
      </c>
      <c r="T6" s="2097" t="s">
        <v>4156</v>
      </c>
      <c r="U6" s="2098" t="s">
        <v>4157</v>
      </c>
      <c r="V6" s="2065" t="s">
        <v>4156</v>
      </c>
      <c r="W6" s="2065" t="s">
        <v>4157</v>
      </c>
      <c r="X6" s="2097" t="s">
        <v>4156</v>
      </c>
      <c r="Y6" s="2096" t="s">
        <v>4157</v>
      </c>
      <c r="AA6" s="2082"/>
      <c r="AB6" s="2400" t="s">
        <v>3251</v>
      </c>
      <c r="AC6" s="2401" t="s">
        <v>3251</v>
      </c>
      <c r="AD6" s="2400" t="s">
        <v>3251</v>
      </c>
      <c r="AE6" s="2401" t="s">
        <v>3251</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4579</v>
      </c>
      <c r="S7" s="2066" t="s">
        <v>4580</v>
      </c>
      <c r="T7" s="2104" t="s">
        <v>4579</v>
      </c>
      <c r="U7" s="2105" t="s">
        <v>4580</v>
      </c>
      <c r="V7" s="2066" t="s">
        <v>4579</v>
      </c>
      <c r="W7" s="2066" t="s">
        <v>4580</v>
      </c>
      <c r="X7" s="2104" t="s">
        <v>4579</v>
      </c>
      <c r="Y7" s="2103" t="s">
        <v>4580</v>
      </c>
      <c r="AA7" s="2082"/>
      <c r="AB7" s="2066" t="s">
        <v>4580</v>
      </c>
      <c r="AC7" s="2103" t="s">
        <v>4580</v>
      </c>
      <c r="AD7" s="2066" t="s">
        <v>4580</v>
      </c>
      <c r="AE7" s="2103" t="s">
        <v>4580</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131">
        <v>1</v>
      </c>
      <c r="S8" s="3132"/>
      <c r="T8" s="3131">
        <v>2</v>
      </c>
      <c r="U8" s="3132"/>
      <c r="V8" s="3131">
        <v>3</v>
      </c>
      <c r="W8" s="3132"/>
      <c r="X8" s="3131">
        <v>4</v>
      </c>
      <c r="Y8" s="3132"/>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xml:space="preserve"> </v>
      </c>
      <c r="G9" s="2117" t="str">
        <f>GebKat2</f>
        <v/>
      </c>
      <c r="H9" s="2117" t="str">
        <f>GebKat3</f>
        <v/>
      </c>
      <c r="I9" s="2118" t="str">
        <f>GebKat4</f>
        <v/>
      </c>
      <c r="J9" s="2090"/>
      <c r="K9" s="2119" t="str">
        <f>IF(Eingaben!F16="","",Eingaben!F16)</f>
        <v xml:space="preserve"> </v>
      </c>
      <c r="L9" s="2119" t="str">
        <f>IF(Eingaben!G16="","",Eingaben!G16)</f>
        <v/>
      </c>
      <c r="M9" s="2120" t="str">
        <f>IF(Eingaben!H16="","",Eingaben!H16)</f>
        <v/>
      </c>
      <c r="N9" s="2120" t="str">
        <f>IF(Eingaben!I16="","",Eingaben!I16)</f>
        <v/>
      </c>
      <c r="O9" s="2121"/>
      <c r="Q9" s="2122" t="s">
        <v>4582</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4582</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4513</v>
      </c>
      <c r="AH9" s="2091" t="e">
        <f>VLOOKUP(Eingaben!I14,tab_hgt,2,FALSE)</f>
        <v>#N/A</v>
      </c>
      <c r="AI9" s="2091"/>
      <c r="AJ9" s="2107" t="s">
        <v>4649</v>
      </c>
      <c r="AK9" s="2284"/>
      <c r="AL9" s="2127"/>
      <c r="AQ9" s="1236"/>
      <c r="AT9" s="1236"/>
    </row>
    <row r="10" spans="1:46" s="2089" customFormat="1" ht="18.75" customHeight="1">
      <c r="A10" s="2108" t="str">
        <f>IF(B12&lt;&gt;"","T"&amp;ROW(),"")</f>
        <v>T10</v>
      </c>
      <c r="B10" s="2128" t="str">
        <f>Uebersetzung!D608</f>
        <v>Art des Nachweises</v>
      </c>
      <c r="C10" s="2129"/>
      <c r="D10" s="2129"/>
      <c r="E10" s="2130"/>
      <c r="F10" s="3126" t="str">
        <f>Eingaben!E14</f>
        <v>behördlicher Nachweis</v>
      </c>
      <c r="G10" s="3127"/>
      <c r="H10" s="3127"/>
      <c r="I10" s="3128"/>
      <c r="J10" s="2090"/>
      <c r="Q10" s="2106"/>
      <c r="R10" s="2069"/>
      <c r="S10" s="2070"/>
      <c r="T10" s="2090"/>
      <c r="U10" s="2090"/>
      <c r="V10" s="2069"/>
      <c r="W10" s="2070"/>
      <c r="X10" s="2090"/>
      <c r="Y10" s="2131"/>
      <c r="AA10" s="2277" t="s">
        <v>4189</v>
      </c>
      <c r="AB10" s="2071" t="e">
        <f>VLOOKUP($F$28,mx_spannweite,3,FALSE)</f>
        <v>#N/A</v>
      </c>
      <c r="AC10" s="2140" t="e">
        <f>VLOOKUP($F$28,mx_spannweite,3,FALSE)</f>
        <v>#N/A</v>
      </c>
      <c r="AD10" s="2071" t="e">
        <f>VLOOKUP($F$28,mx_spannweite,3,FALSE)</f>
        <v>#N/A</v>
      </c>
      <c r="AE10" s="2140" t="e">
        <f>VLOOKUP($F$28,mx_spannweite,3,FALSE)</f>
        <v>#N/A</v>
      </c>
      <c r="AG10" s="2126" t="s">
        <v>4583</v>
      </c>
      <c r="AH10" s="2091">
        <v>8.6400000000000005E-2</v>
      </c>
      <c r="AI10" s="2091"/>
      <c r="AJ10" s="2107" t="s">
        <v>4650</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4584</v>
      </c>
      <c r="E11" s="2134" t="s">
        <v>4585</v>
      </c>
      <c r="F11" s="3133">
        <f>summe_ebf</f>
        <v>0</v>
      </c>
      <c r="G11" s="3134"/>
      <c r="H11" s="3134"/>
      <c r="I11" s="3135"/>
      <c r="J11" s="2093"/>
      <c r="K11" s="2135">
        <f>Eingaben!O2</f>
        <v>0</v>
      </c>
      <c r="L11" s="2135">
        <f>Eingaben!P2</f>
        <v>0</v>
      </c>
      <c r="M11" s="2135">
        <f>Eingaben!Q2</f>
        <v>0</v>
      </c>
      <c r="N11" s="2136">
        <f>Eingaben!R2</f>
        <v>0</v>
      </c>
      <c r="O11" s="2137">
        <f>SUM(K11:N11)</f>
        <v>0</v>
      </c>
      <c r="Q11" s="2138" t="s">
        <v>4343</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4206</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4586</v>
      </c>
      <c r="AH11" s="2091" t="e">
        <f>22-VLOOKUP(Eingaben!I14,tab_hgt,3,FALSE)</f>
        <v>#N/A</v>
      </c>
      <c r="AI11" s="2091"/>
      <c r="AJ11" s="2107" t="s">
        <v>1696</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136" t="str">
        <f>IF(AlleZonenNeu,Standardwerte!AA48,Standardwerte!AA49)</f>
        <v>Nein</v>
      </c>
      <c r="G12" s="3137"/>
      <c r="H12" s="3137"/>
      <c r="I12" s="3138"/>
      <c r="J12" s="2093"/>
      <c r="K12" s="2144" t="str">
        <f>Eingaben!F21</f>
        <v xml:space="preserve"> </v>
      </c>
      <c r="L12" s="2144">
        <f>Eingaben!G21</f>
        <v>0</v>
      </c>
      <c r="M12" s="2144">
        <f>Eingaben!H21</f>
        <v>0</v>
      </c>
      <c r="N12" s="2145">
        <f>Eingaben!I21</f>
        <v>0</v>
      </c>
      <c r="O12" s="2146">
        <f>Eingaben!J21</f>
        <v>0</v>
      </c>
      <c r="Q12" s="2122" t="s">
        <v>4587</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4029</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4652</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4588</v>
      </c>
      <c r="E13" s="2148"/>
      <c r="F13" s="3139" t="str">
        <f>O13</f>
        <v/>
      </c>
      <c r="G13" s="3140"/>
      <c r="H13" s="3140"/>
      <c r="I13" s="3141"/>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4603</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4756</v>
      </c>
      <c r="AH13" s="2090">
        <v>2</v>
      </c>
      <c r="AI13" s="2090"/>
      <c r="AJ13" s="2131" t="s">
        <v>4757</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1858</v>
      </c>
      <c r="F14" s="3142">
        <f>MINERGIE!E117</f>
        <v>0</v>
      </c>
      <c r="G14" s="3143"/>
      <c r="H14" s="3143"/>
      <c r="I14" s="3144"/>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4033</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4589</v>
      </c>
      <c r="AH14" s="2370" t="e">
        <f>(((((AH7*1.25)*AH6)/(AH9*14/24*AH10)*AH11)/1000)+qw*AH6/8760*1.5)/(24-AH13)*24</f>
        <v>#N/A</v>
      </c>
      <c r="AI14" s="2151"/>
      <c r="AJ14" s="2107" t="s">
        <v>4590</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106" t="str">
        <f>Nachweis!B8</f>
        <v xml:space="preserve">  </v>
      </c>
      <c r="G15" s="3107"/>
      <c r="H15" s="3107"/>
      <c r="I15" s="3108"/>
      <c r="J15" s="2093"/>
      <c r="K15" s="2122" t="s">
        <v>4592</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4034</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4591</v>
      </c>
      <c r="AH15" s="2283" t="e">
        <f>AH14-(AH14/AH12)</f>
        <v>#N/A</v>
      </c>
      <c r="AI15" s="2153"/>
      <c r="AJ15" s="2107" t="s">
        <v>4590</v>
      </c>
      <c r="AK15" s="2160"/>
      <c r="AQ15" s="1236"/>
      <c r="AT15" s="1236"/>
    </row>
    <row r="16" spans="1:46" s="2089" customFormat="1" ht="18.75" customHeight="1">
      <c r="A16" s="2108" t="str">
        <f t="shared" si="0"/>
        <v>T16</v>
      </c>
      <c r="B16" s="2141" t="str">
        <f>Nachweis!B11</f>
        <v>Wärmeerzeugung B</v>
      </c>
      <c r="C16" s="2142"/>
      <c r="D16" s="2154"/>
      <c r="E16" s="2154"/>
      <c r="F16" s="3106" t="str">
        <f>Nachweis!B12</f>
        <v xml:space="preserve">  </v>
      </c>
      <c r="G16" s="3107"/>
      <c r="H16" s="3107"/>
      <c r="I16" s="3108"/>
      <c r="J16" s="2093"/>
      <c r="K16" s="3075" t="s">
        <v>4607</v>
      </c>
      <c r="L16" s="3076"/>
      <c r="M16" s="3077"/>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4737</v>
      </c>
      <c r="AH16" s="2090">
        <v>35</v>
      </c>
      <c r="AI16" s="2090"/>
      <c r="AJ16" s="2107" t="s">
        <v>4593</v>
      </c>
      <c r="AK16" s="2160"/>
      <c r="AQ16" s="1236"/>
      <c r="AT16" s="1236"/>
    </row>
    <row r="17" spans="1:46" s="2089" customFormat="1" ht="18.75" customHeight="1">
      <c r="A17" s="2108" t="str">
        <f t="shared" si="0"/>
        <v>T17</v>
      </c>
      <c r="B17" s="2141" t="str">
        <f>Nachweis!B15</f>
        <v>Wärmeerzeugung C</v>
      </c>
      <c r="C17" s="2142"/>
      <c r="D17" s="2154"/>
      <c r="E17" s="2154"/>
      <c r="F17" s="3106" t="str">
        <f>Nachweis!B16</f>
        <v xml:space="preserve">  </v>
      </c>
      <c r="G17" s="3107"/>
      <c r="H17" s="3107"/>
      <c r="I17" s="3108"/>
      <c r="J17" s="2093"/>
      <c r="Q17" s="2251" t="str">
        <f>Nachweis!H6&amp;"  E"</f>
        <v>Nutzungsgrad / JAZ  E</v>
      </c>
      <c r="R17" s="2316">
        <f>WirkungsgradE</f>
        <v>0</v>
      </c>
      <c r="T17" s="2317" t="s">
        <v>4651</v>
      </c>
      <c r="U17" s="2317" t="s">
        <v>4653</v>
      </c>
      <c r="V17" s="2261"/>
      <c r="W17" s="2261"/>
      <c r="X17" s="2162"/>
      <c r="Y17" s="2237"/>
      <c r="AA17" s="2228" t="s">
        <v>4648</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4596</v>
      </c>
      <c r="AH17" s="2394">
        <f>ROUNDUP(IFERROR((AH15*1000)/AH16,0),0)</f>
        <v>0</v>
      </c>
      <c r="AI17" s="2394"/>
      <c r="AJ17" s="2157" t="s">
        <v>1496</v>
      </c>
      <c r="AK17" s="2160"/>
      <c r="AQ17" s="1236"/>
      <c r="AT17" s="1236"/>
    </row>
    <row r="18" spans="1:46" s="2089" customFormat="1" ht="18.75" customHeight="1">
      <c r="A18" s="2108" t="str">
        <f t="shared" si="0"/>
        <v>T18</v>
      </c>
      <c r="B18" s="2231" t="str">
        <f>Nachweis!B19</f>
        <v>Wärmeerzeugung D</v>
      </c>
      <c r="C18" s="2232"/>
      <c r="D18" s="2233"/>
      <c r="E18" s="2233"/>
      <c r="F18" s="3109">
        <f>Nachweis!B20</f>
        <v>0</v>
      </c>
      <c r="G18" s="3110"/>
      <c r="H18" s="3110"/>
      <c r="I18" s="3111"/>
      <c r="J18" s="2093"/>
      <c r="K18" s="2155"/>
      <c r="Q18" s="2138" t="s">
        <v>4594</v>
      </c>
      <c r="R18" s="2345">
        <f>IF(AlleZonenNeu,IF($AD$21&gt;0,($AD$21*NRE_erdwaermesonde)/(summe_ebf*Lebensdauer_erdwaermesonde),0),0)</f>
        <v>0</v>
      </c>
      <c r="S18" s="2345">
        <f>IF(AlleZonenNeu,IF($AD$21&gt;0,($AD$21*CO2_erdwaermesonde)/(summe_ebf*Lebensdauer_erdwaermesonde),0),0)</f>
        <v>0</v>
      </c>
      <c r="T18" s="2138" t="s">
        <v>4595</v>
      </c>
      <c r="U18" s="2236"/>
      <c r="V18" s="2236"/>
      <c r="W18" s="2236"/>
      <c r="X18" s="2236"/>
      <c r="Y18" s="2101"/>
      <c r="AG18" s="2186" t="s">
        <v>4733</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119">
        <f>Nachweis!B24</f>
        <v>0</v>
      </c>
      <c r="G19" s="3120"/>
      <c r="H19" s="3120"/>
      <c r="I19" s="3121"/>
      <c r="K19" s="2155"/>
      <c r="Q19" s="2227" t="s">
        <v>4597</v>
      </c>
      <c r="R19" s="2068">
        <f>IF(AlleZonenNeu,IF(MINERGIE!$E$117="",0,MINERGIE!$E$117*NRE_PV/(summe_ebf*Lebensdauer_PV)),0)</f>
        <v>0</v>
      </c>
      <c r="S19" s="2068">
        <f>IF(AlleZonenNeu,IF(MINERGIE!$E$117="",0,MINERGIE!$E$117*CO2_PV/(summe_ebf*Lebensdauer_PV)),0)</f>
        <v>0</v>
      </c>
      <c r="T19" s="2126" t="s">
        <v>4595</v>
      </c>
      <c r="U19" s="2090"/>
      <c r="V19" s="2090"/>
      <c r="W19" s="2090"/>
      <c r="X19" s="2090"/>
      <c r="Y19" s="2131"/>
      <c r="AA19" s="2289" t="s">
        <v>4210</v>
      </c>
      <c r="AB19" s="2290"/>
      <c r="AC19" s="2290"/>
      <c r="AD19" s="2291"/>
      <c r="AG19" s="2367" t="s">
        <v>4734</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112" t="str">
        <f>IF(M32,Fehler1,"")</f>
        <v/>
      </c>
      <c r="G20" s="3112"/>
      <c r="H20" s="3112"/>
      <c r="I20" s="3113"/>
      <c r="P20" s="2089">
        <v>1</v>
      </c>
      <c r="Q20" s="2099"/>
      <c r="R20" s="2090"/>
      <c r="S20" s="2090"/>
      <c r="T20" s="2090"/>
      <c r="U20" s="2090"/>
      <c r="V20" s="2090"/>
      <c r="W20" s="2090"/>
      <c r="X20" s="2090"/>
      <c r="Y20" s="2131"/>
      <c r="AA20" s="2300" t="s">
        <v>4214</v>
      </c>
      <c r="AB20" s="2301" t="s">
        <v>4215</v>
      </c>
      <c r="AC20" s="2361" t="s">
        <v>4216</v>
      </c>
      <c r="AD20" s="2363" t="s">
        <v>4732</v>
      </c>
      <c r="AG20" s="2367" t="s">
        <v>4735</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4599</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4736</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114" t="str">
        <f>Uebersetzung!D611</f>
        <v>Geschossfläche</v>
      </c>
      <c r="C23" s="3115"/>
      <c r="D23" s="2164" t="str">
        <f>Uebersetzung!D699</f>
        <v>GF</v>
      </c>
      <c r="E23" s="2165" t="s">
        <v>4585</v>
      </c>
      <c r="F23" s="3116"/>
      <c r="G23" s="3117"/>
      <c r="H23" s="3117"/>
      <c r="I23" s="3118"/>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85" t="str">
        <f>Uebersetzung!D619</f>
        <v>Baugrube</v>
      </c>
      <c r="C24" s="3086"/>
      <c r="D24" s="2142"/>
      <c r="E24" s="2167" t="str">
        <f t="shared" ref="E24:E31" si="4">IF(M24,Fehler1,"")</f>
        <v/>
      </c>
      <c r="F24" s="3087"/>
      <c r="G24" s="3088"/>
      <c r="H24" s="3088"/>
      <c r="I24" s="3089"/>
      <c r="J24" s="2093"/>
      <c r="K24" s="2168">
        <f>IF(OR(AlleZonenNeu=FALSE,F24=""),1,VLOOKUP(F24,Oeko!AF12:AH18,3,FALSE))</f>
        <v>1</v>
      </c>
      <c r="L24" s="2099" t="b">
        <f>IF(K24=1,FALSE,TRUE)</f>
        <v>0</v>
      </c>
      <c r="M24" s="2175" t="b">
        <f t="shared" ref="M24:M30" si="5">IF(AND(AlleZonenNeu,L24=FALSE),TRUE,FALSE)</f>
        <v>0</v>
      </c>
      <c r="N24" s="2155"/>
      <c r="Q24" s="2156" t="s">
        <v>4031</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85" t="str">
        <f>Uebersetzung!D618</f>
        <v>Fundation</v>
      </c>
      <c r="C25" s="3086"/>
      <c r="D25" s="2132"/>
      <c r="E25" s="2167" t="str">
        <f t="shared" si="4"/>
        <v/>
      </c>
      <c r="F25" s="3090"/>
      <c r="G25" s="3091"/>
      <c r="H25" s="3091"/>
      <c r="I25" s="3092"/>
      <c r="J25" s="2093"/>
      <c r="K25" s="2174">
        <f>IF(OR(AlleZonenNeu=FALSE,F25=""),1,VLOOKUP(F25,Oeko!AC12:AE17,3,FALSE))</f>
        <v>1</v>
      </c>
      <c r="L25" s="2106" t="b">
        <f t="shared" ref="L25:L30" si="6">IF(K25=1,FALSE,TRUE)</f>
        <v>0</v>
      </c>
      <c r="M25" s="2175" t="b">
        <f t="shared" si="5"/>
        <v>0</v>
      </c>
      <c r="Q25" s="2170" t="s">
        <v>4600</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85" t="str">
        <f>Uebersetzung!D616</f>
        <v>UG-Gestaltung</v>
      </c>
      <c r="C26" s="3086"/>
      <c r="D26" s="2142"/>
      <c r="E26" s="2167" t="str">
        <f t="shared" si="4"/>
        <v/>
      </c>
      <c r="F26" s="3103"/>
      <c r="G26" s="3104"/>
      <c r="H26" s="3104"/>
      <c r="I26" s="3105"/>
      <c r="J26" s="2093"/>
      <c r="K26" s="2174">
        <f>IF(OR(AlleZonenNeu=FALSE,F26=""),1,VLOOKUP(F26,Oeko!Y12:AB17,4,FALSE))</f>
        <v>1</v>
      </c>
      <c r="L26" s="2106" t="b">
        <f t="shared" si="6"/>
        <v>0</v>
      </c>
      <c r="M26" s="2175" t="b">
        <f t="shared" si="5"/>
        <v>0</v>
      </c>
      <c r="Q26" s="2122" t="s">
        <v>4206</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4601</v>
      </c>
      <c r="AK26" s="1236"/>
      <c r="AL26" s="1236"/>
      <c r="AM26" s="1236"/>
      <c r="AN26" s="1236"/>
      <c r="AO26" s="1236"/>
      <c r="AQ26" s="1236"/>
      <c r="AT26" s="1236"/>
    </row>
    <row r="27" spans="1:46" s="2089" customFormat="1" ht="18.75" customHeight="1">
      <c r="A27" s="2108" t="str">
        <f t="shared" si="0"/>
        <v>T27</v>
      </c>
      <c r="B27" s="3085" t="str">
        <f>Uebersetzung!D612</f>
        <v>Bauweise</v>
      </c>
      <c r="C27" s="3086"/>
      <c r="D27" s="2142"/>
      <c r="E27" s="2167" t="str">
        <f t="shared" si="4"/>
        <v/>
      </c>
      <c r="F27" s="3087"/>
      <c r="G27" s="3088"/>
      <c r="H27" s="3088"/>
      <c r="I27" s="3089"/>
      <c r="J27" s="2176"/>
      <c r="K27" s="2174">
        <f>IF(OR(AlleZonenNeu=FALSE,F27=""),1,VLOOKUP(F27,Oeko!P12:T19,5,FALSE))</f>
        <v>1</v>
      </c>
      <c r="L27" s="2106" t="b">
        <f t="shared" si="6"/>
        <v>0</v>
      </c>
      <c r="M27" s="2175" t="b">
        <f t="shared" si="5"/>
        <v>0</v>
      </c>
      <c r="Q27" s="2122" t="s">
        <v>4029</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4602</v>
      </c>
      <c r="AA27" s="3145" t="s">
        <v>319</v>
      </c>
      <c r="AB27" s="3146"/>
      <c r="AC27" s="3146"/>
      <c r="AD27" s="3146"/>
      <c r="AG27" s="2285" t="s">
        <v>4578</v>
      </c>
      <c r="AH27" s="2226"/>
      <c r="AI27" s="2095"/>
      <c r="AK27" s="1236"/>
      <c r="AL27" s="1236"/>
      <c r="AM27" s="1236"/>
      <c r="AN27" s="1236"/>
      <c r="AO27" s="1236"/>
      <c r="AQ27" s="1236"/>
      <c r="AT27" s="1236"/>
    </row>
    <row r="28" spans="1:46" s="2089" customFormat="1" ht="18.75" customHeight="1">
      <c r="A28" s="2108" t="str">
        <f>IF(B28&lt;&gt;"","T"&amp;ROW(),"")</f>
        <v>T28</v>
      </c>
      <c r="B28" s="3085" t="str">
        <f>Uebersetzung!D617</f>
        <v>Tragstruktur</v>
      </c>
      <c r="C28" s="3086"/>
      <c r="D28" s="2142"/>
      <c r="E28" s="2167" t="str">
        <f t="shared" si="4"/>
        <v/>
      </c>
      <c r="F28" s="3090"/>
      <c r="G28" s="3091"/>
      <c r="H28" s="3091"/>
      <c r="I28" s="3092"/>
      <c r="J28" s="2176"/>
      <c r="K28" s="2174">
        <f>IF(OR(AlleZonenNeu=FALSE,F28=""),1,VLOOKUP(F28,Oeko!AI12:AM17,5,FALSE))</f>
        <v>1</v>
      </c>
      <c r="L28" s="2106" t="b">
        <f t="shared" si="6"/>
        <v>0</v>
      </c>
      <c r="M28" s="2175" t="b">
        <f t="shared" si="5"/>
        <v>0</v>
      </c>
      <c r="Q28" s="2122" t="s">
        <v>4603</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4602</v>
      </c>
      <c r="AA28" s="1948" t="s">
        <v>4153</v>
      </c>
      <c r="AB28" s="2305" t="s">
        <v>4154</v>
      </c>
      <c r="AC28" s="3147" t="s">
        <v>4155</v>
      </c>
      <c r="AD28" s="3148"/>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85" t="str">
        <f>Uebersetzung!D614</f>
        <v>Fensteranteil</v>
      </c>
      <c r="C29" s="3086"/>
      <c r="D29" s="2177" t="s">
        <v>2482</v>
      </c>
      <c r="E29" s="2167" t="str">
        <f t="shared" si="4"/>
        <v/>
      </c>
      <c r="F29" s="3093"/>
      <c r="G29" s="3094"/>
      <c r="H29" s="3094"/>
      <c r="I29" s="3095"/>
      <c r="J29" s="2176"/>
      <c r="K29" s="2174">
        <f>IF(OR(AlleZonenNeu=FALSE,F29=""),1,VLOOKUP(F29,Oeko!U9:W20,3,FALSE))</f>
        <v>1</v>
      </c>
      <c r="L29" s="2106" t="b">
        <f t="shared" si="6"/>
        <v>0</v>
      </c>
      <c r="M29" s="2175" t="b">
        <f t="shared" si="5"/>
        <v>0</v>
      </c>
      <c r="P29" s="1236"/>
      <c r="Q29" s="2122" t="s">
        <v>4033</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4602</v>
      </c>
      <c r="AA29" s="2302">
        <v>7390</v>
      </c>
      <c r="AB29" s="2303">
        <v>2080</v>
      </c>
      <c r="AC29" s="3149">
        <v>30</v>
      </c>
      <c r="AD29" s="3150"/>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93"/>
      <c r="G30" s="3094"/>
      <c r="H30" s="3094"/>
      <c r="I30" s="3095"/>
      <c r="J30" s="2176"/>
      <c r="K30" s="2174">
        <f>IF(OR(AlleZonenNeu=FALSE,F30=""),1,VLOOKUP(F30,Oeko!U3:W5,3,FALSE))</f>
        <v>1</v>
      </c>
      <c r="L30" s="2106" t="b">
        <f t="shared" si="6"/>
        <v>0</v>
      </c>
      <c r="M30" s="2175" t="b">
        <f t="shared" si="5"/>
        <v>0</v>
      </c>
      <c r="P30" s="1236"/>
      <c r="Q30" s="2122" t="s">
        <v>4034</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4602</v>
      </c>
      <c r="AG30" s="2286" t="s">
        <v>4581</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96"/>
      <c r="G31" s="3097"/>
      <c r="H31" s="3097"/>
      <c r="I31" s="3098"/>
      <c r="J31" s="2176"/>
      <c r="K31" s="2182">
        <f>IF(OR(AlleZonenNeu=FALSE,F31=""),1,VLOOKUP(F31,R21:T22,3,FALSE))</f>
        <v>1</v>
      </c>
      <c r="L31" s="2229" t="b">
        <f>AlleZonenNeu</f>
        <v>0</v>
      </c>
      <c r="M31" s="2183" t="b">
        <f>IF(AND(AlleZonenNeu,F31=""),TRUE,FALSE)</f>
        <v>0</v>
      </c>
      <c r="P31" s="1236"/>
      <c r="Q31" s="2344" t="s">
        <v>4703</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151" t="s">
        <v>4139</v>
      </c>
      <c r="AB31" s="3152"/>
      <c r="AC31" s="3152"/>
      <c r="AD31" s="3153"/>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99"/>
      <c r="G32" s="3099"/>
      <c r="H32" s="3099"/>
      <c r="I32" s="3099"/>
      <c r="J32" s="2176"/>
      <c r="K32" s="1236"/>
      <c r="M32" s="2089" t="b">
        <f>OR(M23,M24,M25,M26,M27,M28,M29,M30,M31)</f>
        <v>0</v>
      </c>
      <c r="P32" s="1236"/>
      <c r="Q32" s="2138" t="s">
        <v>4604</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4156</v>
      </c>
      <c r="AD32" s="2301" t="s">
        <v>4157</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100" t="str">
        <f>Uebersetzung!D680</f>
        <v>Richtwert THGE Erstellung</v>
      </c>
      <c r="G33" s="3101"/>
      <c r="H33" s="3102" t="str">
        <f>Uebersetzung!D295</f>
        <v>Berechneter Wert</v>
      </c>
      <c r="I33" s="3101"/>
      <c r="J33" s="2191"/>
      <c r="K33" s="1236"/>
      <c r="L33" s="1236"/>
      <c r="M33" s="1236"/>
      <c r="N33" s="1236"/>
      <c r="O33" s="1236"/>
      <c r="P33" s="1236"/>
      <c r="Q33" s="2186" t="s">
        <v>4605</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4172</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83" t="str">
        <f>Uebersetzung!D656</f>
        <v>Treibhausgasemissionen</v>
      </c>
      <c r="C34" s="3084"/>
      <c r="D34" s="2196"/>
      <c r="E34" s="2197"/>
      <c r="F34" s="2198">
        <f>IF(summe_ebf&gt;0,(S34*ebf_1+U34*ebf_2+W34*ebf_3+Y34*ebf_4)/summe_ebf,0)</f>
        <v>0</v>
      </c>
      <c r="G34" s="2199" t="s">
        <v>4752</v>
      </c>
      <c r="H34" s="2198">
        <f>IF(summe_ebf&gt;0,((S32*ebf_1+U32*ebf_2+W32*ebf_3+Y32*ebf_4)/summe_ebf)+SUM(S18:S19),0)</f>
        <v>0</v>
      </c>
      <c r="I34" s="2200" t="s">
        <v>4749</v>
      </c>
      <c r="J34" s="2191"/>
      <c r="K34" s="1236"/>
      <c r="L34" s="1236"/>
      <c r="M34" s="1236"/>
      <c r="N34" s="1236"/>
      <c r="O34" s="1236"/>
      <c r="P34" s="1236"/>
      <c r="Q34" s="2192" t="s">
        <v>4606</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4190</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79" t="str">
        <f>Uebersetzung!D657</f>
        <v>Graue Energie</v>
      </c>
      <c r="C35" s="3080"/>
      <c r="D35" s="2196"/>
      <c r="E35" s="2197"/>
      <c r="F35" s="2201">
        <f>IF(summe_ebf&gt;0,(R34*ebf_1+T34*ebf_2+V34*ebf_3+X34*ebf_4)/summe_ebf,0)</f>
        <v>0</v>
      </c>
      <c r="G35" s="2202" t="s">
        <v>4751</v>
      </c>
      <c r="H35" s="2201">
        <f>IF(summe_ebf&gt;0,((R32*ebf_1+T32*ebf_2+V32*ebf_3+X32*ebf_4)/summe_ebf)+SUM(R18:R19),0)</f>
        <v>0</v>
      </c>
      <c r="I35" s="2203" t="s">
        <v>4750</v>
      </c>
      <c r="J35" s="2090"/>
      <c r="K35" s="1236"/>
      <c r="L35" s="1236"/>
      <c r="M35" s="1236"/>
      <c r="N35" s="1236"/>
      <c r="O35" s="1236"/>
      <c r="P35" s="1236"/>
      <c r="AA35" s="2309" t="s">
        <v>4205</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81" t="str">
        <f>Uebersetzung!D654</f>
        <v>Gespeicherter Kohlenstoff</v>
      </c>
      <c r="C36" s="3082"/>
      <c r="D36" s="2204"/>
      <c r="E36" s="2205"/>
      <c r="F36" s="2206" t="s">
        <v>51</v>
      </c>
      <c r="G36" s="2207"/>
      <c r="H36" s="2208">
        <f>IF(summe_ebf&gt;0,IF(SUM(AB17:AE17)&gt;0,((AB17*ebf_1+AC17*ebf_2+AD17*ebf_3+AE17*ebf_4)/summe_ebf)*AE3,0),0)</f>
        <v>0</v>
      </c>
      <c r="I36" s="2209" t="s">
        <v>4749</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5108</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78"/>
      <c r="D58" s="3078"/>
      <c r="E58" s="3078"/>
      <c r="F58" s="2083"/>
    </row>
    <row r="59" spans="2:6">
      <c r="B59" s="2083"/>
      <c r="C59" s="3078"/>
      <c r="D59" s="3078"/>
      <c r="E59" s="3078"/>
      <c r="F59" s="2083"/>
    </row>
    <row r="60" spans="2:6">
      <c r="B60" s="2083"/>
      <c r="C60" s="3078"/>
      <c r="D60" s="3078"/>
      <c r="E60" s="3078"/>
      <c r="F60" s="2083"/>
    </row>
    <row r="61" spans="2:6">
      <c r="B61" s="2083"/>
      <c r="C61" s="3078"/>
      <c r="D61" s="3078"/>
      <c r="E61" s="3078"/>
      <c r="F61" s="2083"/>
    </row>
    <row r="62" spans="2:6">
      <c r="B62" s="2083"/>
      <c r="C62" s="3078"/>
      <c r="D62" s="3078"/>
      <c r="E62" s="3078"/>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2482</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disablePrompts="1"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51"/>
  <sheetViews>
    <sheetView zoomScale="120" zoomScaleNormal="12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2026</v>
      </c>
      <c r="E1" s="1873" t="s">
        <v>136</v>
      </c>
      <c r="F1" s="907"/>
      <c r="G1" s="907"/>
      <c r="H1" s="404" t="str">
        <f>E3</f>
        <v>deutsch</v>
      </c>
      <c r="I1" s="898">
        <v>1</v>
      </c>
    </row>
    <row r="2" spans="1:9" ht="34.5" customHeight="1">
      <c r="A2" s="2552">
        <v>1</v>
      </c>
      <c r="B2" s="2551">
        <v>2023</v>
      </c>
      <c r="C2" s="2522">
        <v>2022.4</v>
      </c>
      <c r="D2" s="1341" t="s">
        <v>2091</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v2.97</v>
      </c>
      <c r="E4" s="1433" t="s">
        <v>5289</v>
      </c>
      <c r="F4" s="902" t="str">
        <f>E4</f>
        <v>v2.97</v>
      </c>
      <c r="G4" s="403" t="str">
        <f>E4</f>
        <v>v2.97</v>
      </c>
      <c r="H4" s="2523">
        <f>IF(C2="",B2&amp;"."&amp;A2,C2)</f>
        <v>2022.4</v>
      </c>
    </row>
    <row r="5" spans="1:9" ht="25.9" customHeight="1">
      <c r="A5" s="401">
        <v>2</v>
      </c>
      <c r="B5" s="929" t="s">
        <v>53</v>
      </c>
      <c r="C5" s="929" t="s">
        <v>841</v>
      </c>
      <c r="D5" s="899" t="str">
        <f t="shared" ref="D5:D68" si="0">INDEX($E$4:$G$503,$A5,$A$1)</f>
        <v>Formular EN101b, v2.97, zu verwenden bis 31. Dezember 2026</v>
      </c>
      <c r="E5" s="429" t="str">
        <f>IF(OR(MUKEN,bern),IF(bern,"Formular EN-101 BE, "&amp;E4,"Formular EN101b, "&amp;E4&amp;", zu verwenden bis 31. Dezember "&amp;$D$1),"MINERGIE-Nachweisformular "&amp;$H$4&amp;", zu verwenden bis 31. Dezember "&amp;$B$2)</f>
        <v>Formular EN101b, v2.97, zu verwenden bis 31. Dezember 2026</v>
      </c>
      <c r="F5" s="902" t="str">
        <f>IF(OR(MUKEN,bern),IF(bern,"Formulaire EN-101 BE, "&amp;E4,"Formulaire EN101b, "&amp;E4&amp;", à utiliser jusqu'au 31 décembre "&amp;$D$1),"Formulaire MINERGIE "&amp;$H$4&amp;", à utiliser jusqu'au 31 décembre "&amp;$B$2)</f>
        <v>Formulaire EN101b, v2.97, à utiliser jusqu'au 31 décembre 2026</v>
      </c>
      <c r="G5" s="403" t="str">
        <f>IF(OR(MUKEN,bern),"Formulario EN101b, "&amp;E4&amp;", da utilizzare fino al 31. 12. "&amp;$D$1,"Formulario MINERGIE "&amp;$H$4&amp;", da utilizzare fino al 31. 12. "&amp;$B$2)</f>
        <v>Formulario EN101b, v2.97, da utilizzare fino al 31. 12. 2026</v>
      </c>
    </row>
    <row r="6" spans="1:9" ht="25.9" customHeight="1">
      <c r="A6" s="401">
        <v>3</v>
      </c>
      <c r="B6" s="929" t="s">
        <v>53</v>
      </c>
      <c r="C6" s="929" t="s">
        <v>842</v>
      </c>
      <c r="D6" s="899" t="str">
        <f t="shared" si="0"/>
        <v>Energienachweis</v>
      </c>
      <c r="E6" s="402" t="s">
        <v>755</v>
      </c>
      <c r="F6" s="2338" t="s">
        <v>1488</v>
      </c>
      <c r="G6" s="403" t="s">
        <v>1235</v>
      </c>
    </row>
    <row r="7" spans="1:9" ht="25.9" customHeight="1">
      <c r="A7" s="401">
        <v>4</v>
      </c>
      <c r="B7" s="929" t="s">
        <v>53</v>
      </c>
      <c r="C7" s="929" t="s">
        <v>843</v>
      </c>
      <c r="D7" s="899" t="str">
        <f t="shared" si="0"/>
        <v>Energiebedarf</v>
      </c>
      <c r="E7" s="402" t="s">
        <v>1686</v>
      </c>
      <c r="F7" s="2338" t="s">
        <v>1687</v>
      </c>
      <c r="G7" s="403" t="s">
        <v>1688</v>
      </c>
    </row>
    <row r="8" spans="1:9" ht="25.9" customHeight="1">
      <c r="A8" s="401">
        <v>5</v>
      </c>
      <c r="B8" s="929" t="s">
        <v>53</v>
      </c>
      <c r="C8" s="929" t="s">
        <v>844</v>
      </c>
      <c r="D8" s="899" t="str">
        <f t="shared" si="0"/>
        <v>Rechnerische Lösung</v>
      </c>
      <c r="E8" s="402" t="s">
        <v>756</v>
      </c>
      <c r="F8" s="2338" t="s">
        <v>1489</v>
      </c>
      <c r="G8" s="403" t="s">
        <v>1236</v>
      </c>
    </row>
    <row r="9" spans="1:9" ht="25.9" customHeight="1">
      <c r="A9" s="401">
        <v>6</v>
      </c>
      <c r="B9" s="929" t="s">
        <v>53</v>
      </c>
      <c r="C9" s="929" t="s">
        <v>845</v>
      </c>
      <c r="D9" s="899" t="str">
        <f t="shared" si="0"/>
        <v xml:space="preserve">Gemeinde:             </v>
      </c>
      <c r="E9" s="402" t="s">
        <v>796</v>
      </c>
      <c r="F9" s="2338" t="s">
        <v>1490</v>
      </c>
      <c r="G9" s="403" t="s">
        <v>1237</v>
      </c>
    </row>
    <row r="10" spans="1:9" ht="26.1" customHeight="1">
      <c r="A10" s="401">
        <v>7</v>
      </c>
      <c r="B10" s="929" t="s">
        <v>53</v>
      </c>
      <c r="C10" s="929" t="s">
        <v>1205</v>
      </c>
      <c r="D10" s="899" t="str">
        <f t="shared" si="0"/>
        <v xml:space="preserve">Parz.-Nr.:  </v>
      </c>
      <c r="E10" s="402" t="s">
        <v>799</v>
      </c>
      <c r="F10" s="2338" t="s">
        <v>1491</v>
      </c>
      <c r="G10" s="403" t="s">
        <v>1238</v>
      </c>
    </row>
    <row r="11" spans="1:9" ht="26.1" customHeight="1">
      <c r="A11" s="401">
        <v>8</v>
      </c>
      <c r="B11" s="929" t="s">
        <v>53</v>
      </c>
      <c r="C11" s="929" t="s">
        <v>1048</v>
      </c>
      <c r="D11" s="899" t="str">
        <f t="shared" si="0"/>
        <v xml:space="preserve">Geb.-Nr.:  </v>
      </c>
      <c r="E11" s="402" t="s">
        <v>798</v>
      </c>
      <c r="F11" s="2338" t="s">
        <v>1492</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1493</v>
      </c>
      <c r="G13" s="403" t="s">
        <v>1241</v>
      </c>
    </row>
    <row r="14" spans="1:9" ht="26.1" customHeight="1">
      <c r="A14" s="401">
        <v>11</v>
      </c>
      <c r="B14" s="929" t="s">
        <v>53</v>
      </c>
      <c r="C14" s="929" t="s">
        <v>849</v>
      </c>
      <c r="D14" s="899" t="str">
        <f t="shared" si="0"/>
        <v>Gebäudedaten</v>
      </c>
      <c r="E14" s="402" t="s">
        <v>489</v>
      </c>
      <c r="F14" s="2338" t="s">
        <v>1494</v>
      </c>
      <c r="G14" s="403" t="s">
        <v>1242</v>
      </c>
    </row>
    <row r="15" spans="1:9" ht="26.1" customHeight="1">
      <c r="A15" s="401">
        <v>12</v>
      </c>
      <c r="B15" s="929" t="s">
        <v>53</v>
      </c>
      <c r="C15" s="929" t="s">
        <v>389</v>
      </c>
      <c r="D15" s="899" t="str">
        <f t="shared" si="0"/>
        <v xml:space="preserve">Gebäudestandort: </v>
      </c>
      <c r="E15" s="402" t="s">
        <v>828</v>
      </c>
      <c r="F15" s="2338" t="s">
        <v>1495</v>
      </c>
      <c r="G15" s="403" t="s">
        <v>1243</v>
      </c>
    </row>
    <row r="16" spans="1:9" s="907" customFormat="1" ht="26.1" customHeight="1">
      <c r="A16" s="401">
        <v>13</v>
      </c>
      <c r="B16" s="929" t="s">
        <v>53</v>
      </c>
      <c r="C16" s="929" t="s">
        <v>851</v>
      </c>
      <c r="D16" s="899" t="str">
        <f t="shared" si="0"/>
        <v>m.ü.M.</v>
      </c>
      <c r="E16" s="2536" t="s">
        <v>251</v>
      </c>
      <c r="F16" s="2537" t="s">
        <v>1496</v>
      </c>
      <c r="G16" s="2538" t="s">
        <v>3446</v>
      </c>
    </row>
    <row r="17" spans="1:7" ht="26.1" customHeight="1">
      <c r="A17" s="401">
        <v>14</v>
      </c>
      <c r="B17" s="929" t="s">
        <v>53</v>
      </c>
      <c r="C17" s="929" t="s">
        <v>466</v>
      </c>
      <c r="D17" s="899" t="str">
        <f t="shared" si="0"/>
        <v>( aus SIA 380/1 )</v>
      </c>
      <c r="E17" s="402" t="s">
        <v>824</v>
      </c>
      <c r="F17" s="2338" t="s">
        <v>1497</v>
      </c>
      <c r="G17" s="403" t="s">
        <v>1244</v>
      </c>
    </row>
    <row r="18" spans="1:7" ht="26.1" customHeight="1">
      <c r="A18" s="401">
        <v>15</v>
      </c>
      <c r="B18" s="929" t="s">
        <v>53</v>
      </c>
      <c r="C18" s="929" t="s">
        <v>850</v>
      </c>
      <c r="D18" s="899" t="str">
        <f t="shared" si="0"/>
        <v xml:space="preserve">Art des Nachweises: </v>
      </c>
      <c r="E18" s="402" t="s">
        <v>829</v>
      </c>
      <c r="F18" s="2338" t="s">
        <v>1498</v>
      </c>
      <c r="G18" s="403" t="s">
        <v>1245</v>
      </c>
    </row>
    <row r="19" spans="1:7" ht="26.1" customHeight="1">
      <c r="A19" s="401">
        <v>16</v>
      </c>
      <c r="B19" s="929" t="s">
        <v>622</v>
      </c>
      <c r="C19" s="929" t="s">
        <v>855</v>
      </c>
      <c r="D19" s="899" t="str">
        <f t="shared" si="0"/>
        <v>behördlicher Nachweis</v>
      </c>
      <c r="E19" s="402" t="s">
        <v>826</v>
      </c>
      <c r="F19" s="2338" t="s">
        <v>1499</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1844</v>
      </c>
      <c r="D23" s="899" t="str">
        <f t="shared" si="0"/>
        <v>erfüllt</v>
      </c>
      <c r="E23" s="402" t="s">
        <v>676</v>
      </c>
      <c r="F23" s="2338" t="s">
        <v>1500</v>
      </c>
      <c r="G23" s="403" t="s">
        <v>1247</v>
      </c>
    </row>
    <row r="24" spans="1:7" ht="26.1" customHeight="1">
      <c r="A24" s="401">
        <v>21</v>
      </c>
      <c r="B24" s="929" t="s">
        <v>313</v>
      </c>
      <c r="C24" s="929" t="s">
        <v>1845</v>
      </c>
      <c r="D24" s="899" t="str">
        <f t="shared" si="0"/>
        <v>nicht erfüllt</v>
      </c>
      <c r="E24" s="402" t="s">
        <v>677</v>
      </c>
      <c r="F24" s="2338" t="s">
        <v>1501</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1747</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1502</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1503</v>
      </c>
      <c r="G30" s="403" t="s">
        <v>1252</v>
      </c>
    </row>
    <row r="31" spans="1:7" ht="26.1" customHeight="1">
      <c r="A31" s="401">
        <v>28</v>
      </c>
      <c r="B31" s="929" t="s">
        <v>53</v>
      </c>
      <c r="C31" s="929" t="s">
        <v>853</v>
      </c>
      <c r="D31" s="899" t="str">
        <f t="shared" si="0"/>
        <v>Gebäudekategorie</v>
      </c>
      <c r="E31" s="402" t="s">
        <v>331</v>
      </c>
      <c r="F31" s="2338" t="s">
        <v>1504</v>
      </c>
      <c r="G31" s="403" t="s">
        <v>1253</v>
      </c>
    </row>
    <row r="32" spans="1:7" ht="26.1" customHeight="1">
      <c r="A32" s="401">
        <v>29</v>
      </c>
      <c r="B32" s="929" t="s">
        <v>53</v>
      </c>
      <c r="C32" s="929" t="s">
        <v>854</v>
      </c>
      <c r="D32" s="899" t="str">
        <f t="shared" si="0"/>
        <v>Mit Warmwasser ?</v>
      </c>
      <c r="E32" s="402" t="s">
        <v>364</v>
      </c>
      <c r="F32" s="2338" t="s">
        <v>1505</v>
      </c>
      <c r="G32" s="403" t="s">
        <v>1254</v>
      </c>
    </row>
    <row r="33" spans="1:7" ht="26.1" customHeight="1">
      <c r="A33" s="401">
        <v>30</v>
      </c>
      <c r="B33" s="929" t="s">
        <v>53</v>
      </c>
      <c r="C33" s="929" t="s">
        <v>488</v>
      </c>
      <c r="D33" s="899" t="str">
        <f t="shared" si="0"/>
        <v>Energiebezugsfläche EBF</v>
      </c>
      <c r="E33" s="402" t="s">
        <v>137</v>
      </c>
      <c r="F33" s="2338" t="s">
        <v>1506</v>
      </c>
      <c r="G33" s="403" t="s">
        <v>1255</v>
      </c>
    </row>
    <row r="34" spans="1:7" ht="26.1" customHeight="1">
      <c r="A34" s="401">
        <v>31</v>
      </c>
      <c r="B34" s="929" t="s">
        <v>53</v>
      </c>
      <c r="C34" s="929" t="s">
        <v>549</v>
      </c>
      <c r="D34" s="899" t="str">
        <f t="shared" si="0"/>
        <v>Neubau</v>
      </c>
      <c r="E34" s="402" t="s">
        <v>650</v>
      </c>
      <c r="F34" s="2338" t="s">
        <v>1507</v>
      </c>
      <c r="G34" s="403" t="s">
        <v>1256</v>
      </c>
    </row>
    <row r="35" spans="1:7" ht="26.1" customHeight="1">
      <c r="A35" s="401">
        <v>32</v>
      </c>
      <c r="B35" s="929" t="s">
        <v>53</v>
      </c>
      <c r="C35" s="929" t="s">
        <v>864</v>
      </c>
      <c r="D35" s="899" t="str">
        <f t="shared" si="0"/>
        <v>(Mittel)</v>
      </c>
      <c r="E35" s="402" t="s">
        <v>492</v>
      </c>
      <c r="F35" s="2338" t="s">
        <v>1508</v>
      </c>
      <c r="G35" s="403" t="s">
        <v>1257</v>
      </c>
    </row>
    <row r="36" spans="1:7" ht="26.1" customHeight="1">
      <c r="A36" s="401">
        <v>33</v>
      </c>
      <c r="B36" s="929" t="s">
        <v>53</v>
      </c>
      <c r="C36" s="929" t="s">
        <v>549</v>
      </c>
      <c r="D36" s="899" t="str">
        <f t="shared" si="0"/>
        <v>Neubau</v>
      </c>
      <c r="E36" s="402" t="s">
        <v>650</v>
      </c>
      <c r="F36" s="2338" t="s">
        <v>1507</v>
      </c>
      <c r="G36" s="403" t="s">
        <v>1256</v>
      </c>
    </row>
    <row r="37" spans="1:7" ht="26.1" customHeight="1">
      <c r="A37" s="401">
        <v>34</v>
      </c>
      <c r="B37" s="929" t="s">
        <v>53</v>
      </c>
      <c r="C37" s="929" t="s">
        <v>551</v>
      </c>
      <c r="D37" s="899" t="str">
        <f t="shared" si="0"/>
        <v>Heizwärmebedarf mit Standardluftwechsel</v>
      </c>
      <c r="E37" s="402" t="s">
        <v>702</v>
      </c>
      <c r="F37" s="2338" t="s">
        <v>1509</v>
      </c>
      <c r="G37" s="403" t="s">
        <v>1258</v>
      </c>
    </row>
    <row r="38" spans="1:7" ht="26.1" customHeight="1">
      <c r="A38" s="401">
        <v>35</v>
      </c>
      <c r="B38" s="929" t="s">
        <v>53</v>
      </c>
      <c r="C38" s="929" t="s">
        <v>865</v>
      </c>
      <c r="D38" s="899" t="str">
        <f t="shared" si="0"/>
        <v>Lüftung-Klima-Kälteanlagen</v>
      </c>
      <c r="E38" s="402" t="s">
        <v>514</v>
      </c>
      <c r="F38" s="2338" t="s">
        <v>255</v>
      </c>
      <c r="G38" s="403" t="s">
        <v>2740</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1691</v>
      </c>
      <c r="F39" s="2338" t="s">
        <v>3447</v>
      </c>
      <c r="G39" s="403" t="s">
        <v>1259</v>
      </c>
    </row>
    <row r="40" spans="1:7" ht="26.1" customHeight="1">
      <c r="A40" s="401">
        <v>37</v>
      </c>
      <c r="B40" s="929" t="s">
        <v>53</v>
      </c>
      <c r="C40" s="929" t="s">
        <v>867</v>
      </c>
      <c r="D40" s="899" t="str">
        <f t="shared" si="0"/>
        <v xml:space="preserve">Angaben bei Standard-Lüftungsanlagen </v>
      </c>
      <c r="E40" s="402" t="s">
        <v>835</v>
      </c>
      <c r="F40" s="2338" t="s">
        <v>1510</v>
      </c>
      <c r="G40" s="403" t="s">
        <v>2739</v>
      </c>
    </row>
    <row r="41" spans="1:7" ht="26.1" customHeight="1">
      <c r="A41" s="401">
        <v>38</v>
      </c>
      <c r="B41" s="929" t="s">
        <v>53</v>
      </c>
      <c r="C41" s="929" t="s">
        <v>513</v>
      </c>
      <c r="D41" s="899" t="str">
        <f t="shared" si="0"/>
        <v>Standard-Lüftungsanlagentyp</v>
      </c>
      <c r="E41" s="402" t="s">
        <v>634</v>
      </c>
      <c r="F41" s="2338" t="s">
        <v>1511</v>
      </c>
      <c r="G41" s="403" t="s">
        <v>2741</v>
      </c>
    </row>
    <row r="42" spans="1:7" ht="26.1" customHeight="1">
      <c r="A42" s="401">
        <v>39</v>
      </c>
      <c r="B42" s="929" t="s">
        <v>53</v>
      </c>
      <c r="C42" s="929" t="s">
        <v>870</v>
      </c>
      <c r="D42" s="899" t="str">
        <f t="shared" si="0"/>
        <v>Räume mit Zuluft oder Anzahl Personen</v>
      </c>
      <c r="E42" s="402" t="s">
        <v>869</v>
      </c>
      <c r="F42" s="2338" t="s">
        <v>1512</v>
      </c>
      <c r="G42" s="403" t="s">
        <v>2742</v>
      </c>
    </row>
    <row r="43" spans="1:7" ht="26.1" customHeight="1">
      <c r="A43" s="401">
        <v>40</v>
      </c>
      <c r="B43" s="929" t="s">
        <v>53</v>
      </c>
      <c r="C43" s="929" t="s">
        <v>870</v>
      </c>
      <c r="D43" s="899" t="str">
        <f t="shared" si="0"/>
        <v>Anzahl Räume mit Zuluft</v>
      </c>
      <c r="E43" s="402" t="s">
        <v>211</v>
      </c>
      <c r="F43" s="2338" t="s">
        <v>1513</v>
      </c>
      <c r="G43" s="403" t="s">
        <v>2743</v>
      </c>
    </row>
    <row r="44" spans="1:7" ht="26.1" customHeight="1">
      <c r="A44" s="401">
        <v>41</v>
      </c>
      <c r="B44" s="929" t="s">
        <v>53</v>
      </c>
      <c r="C44" s="929" t="s">
        <v>870</v>
      </c>
      <c r="D44" s="899" t="str">
        <f t="shared" si="0"/>
        <v>Anzahl Personen</v>
      </c>
      <c r="E44" s="402" t="s">
        <v>30</v>
      </c>
      <c r="F44" s="2338" t="s">
        <v>1514</v>
      </c>
      <c r="G44" s="403" t="s">
        <v>2744</v>
      </c>
    </row>
    <row r="45" spans="1:7" ht="26.1" customHeight="1">
      <c r="A45" s="401">
        <v>42</v>
      </c>
      <c r="B45" s="929" t="s">
        <v>53</v>
      </c>
      <c r="C45" s="929" t="s">
        <v>97</v>
      </c>
      <c r="D45" s="899" t="str">
        <f t="shared" si="0"/>
        <v>Wärmerückgewinnungs-Wärmetauscher</v>
      </c>
      <c r="E45" s="402" t="s">
        <v>130</v>
      </c>
      <c r="F45" s="2338" t="s">
        <v>1515</v>
      </c>
      <c r="G45" s="403" t="s">
        <v>1260</v>
      </c>
    </row>
    <row r="46" spans="1:7" ht="26.1" customHeight="1">
      <c r="A46" s="401">
        <v>43</v>
      </c>
      <c r="B46" s="929" t="s">
        <v>53</v>
      </c>
      <c r="C46" s="929" t="s">
        <v>438</v>
      </c>
      <c r="D46" s="899" t="str">
        <f t="shared" si="0"/>
        <v>Nenn-Luftvolumenstrom</v>
      </c>
      <c r="E46" s="402" t="s">
        <v>553</v>
      </c>
      <c r="F46" s="2338" t="s">
        <v>1516</v>
      </c>
      <c r="G46" s="403" t="s">
        <v>1261</v>
      </c>
    </row>
    <row r="47" spans="1:7" ht="25.9" customHeight="1">
      <c r="A47" s="401">
        <v>44</v>
      </c>
      <c r="B47" s="929" t="s">
        <v>53</v>
      </c>
      <c r="C47" s="929" t="s">
        <v>98</v>
      </c>
      <c r="D47" s="899" t="str">
        <f t="shared" si="0"/>
        <v>Ventilatorantrieb mit</v>
      </c>
      <c r="E47" s="402" t="s">
        <v>339</v>
      </c>
      <c r="F47" s="2338" t="s">
        <v>1517</v>
      </c>
      <c r="G47" s="403" t="s">
        <v>1262</v>
      </c>
    </row>
    <row r="48" spans="1:7" ht="25.9" customHeight="1">
      <c r="A48" s="401">
        <v>45</v>
      </c>
      <c r="B48" s="929" t="s">
        <v>53</v>
      </c>
      <c r="C48" s="929" t="s">
        <v>868</v>
      </c>
      <c r="D48" s="899" t="str">
        <f t="shared" si="0"/>
        <v>Kleinanlagen mit Standardwerten</v>
      </c>
      <c r="E48" s="402" t="s">
        <v>182</v>
      </c>
      <c r="F48" s="2338" t="s">
        <v>1518</v>
      </c>
      <c r="G48" s="403" t="s">
        <v>1263</v>
      </c>
    </row>
    <row r="49" spans="1:7" ht="26.1" customHeight="1">
      <c r="A49" s="401">
        <v>46</v>
      </c>
      <c r="B49" s="929" t="s">
        <v>53</v>
      </c>
      <c r="C49" s="929" t="s">
        <v>873</v>
      </c>
      <c r="D49" s="899" t="str">
        <f t="shared" si="0"/>
        <v>Thermisch wirksame Aussenluftrate</v>
      </c>
      <c r="E49" s="402" t="s">
        <v>535</v>
      </c>
      <c r="F49" s="2338" t="s">
        <v>1519</v>
      </c>
      <c r="G49" s="403" t="s">
        <v>2748</v>
      </c>
    </row>
    <row r="50" spans="1:7" ht="26.1" customHeight="1">
      <c r="A50" s="401">
        <v>47</v>
      </c>
      <c r="B50" s="929" t="s">
        <v>53</v>
      </c>
      <c r="C50" s="929" t="s">
        <v>872</v>
      </c>
      <c r="D50" s="899" t="str">
        <f t="shared" si="0"/>
        <v>Strombedarf Lüftung + Vereisungsschutz</v>
      </c>
      <c r="E50" s="402" t="s">
        <v>181</v>
      </c>
      <c r="F50" s="2338" t="s">
        <v>1520</v>
      </c>
      <c r="G50" s="403" t="s">
        <v>1264</v>
      </c>
    </row>
    <row r="51" spans="1:7" ht="26.1" customHeight="1">
      <c r="A51" s="401">
        <v>48</v>
      </c>
      <c r="B51" s="929" t="s">
        <v>53</v>
      </c>
      <c r="C51" s="929" t="s">
        <v>871</v>
      </c>
      <c r="D51" s="899" t="str">
        <f t="shared" si="0"/>
        <v>Strombedarf Klima und Befeuchtung</v>
      </c>
      <c r="E51" s="402" t="s">
        <v>141</v>
      </c>
      <c r="F51" s="2338" t="s">
        <v>256</v>
      </c>
      <c r="G51" s="403" t="s">
        <v>2745</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2746</v>
      </c>
    </row>
    <row r="55" spans="1:7" ht="26.1" customHeight="1">
      <c r="A55" s="401">
        <v>52</v>
      </c>
      <c r="B55" s="929" t="s">
        <v>53</v>
      </c>
      <c r="C55" s="929" t="s">
        <v>881</v>
      </c>
      <c r="D55" s="899" t="str">
        <f t="shared" si="0"/>
        <v>Wird eine Kühlung verwendet oder Befeuchtung verwendet?</v>
      </c>
      <c r="E55" s="402" t="s">
        <v>144</v>
      </c>
      <c r="F55" s="2338" t="s">
        <v>258</v>
      </c>
      <c r="G55" s="403" t="s">
        <v>2747</v>
      </c>
    </row>
    <row r="56" spans="1:7" ht="26.1" customHeight="1">
      <c r="A56" s="401">
        <v>53</v>
      </c>
      <c r="B56" s="929" t="s">
        <v>53</v>
      </c>
      <c r="C56" s="929" t="s">
        <v>878</v>
      </c>
      <c r="D56" s="899" t="str">
        <f t="shared" si="0"/>
        <v>Strombedarf Kälteförderung + Hilfsenergie</v>
      </c>
      <c r="E56" s="402" t="s">
        <v>3609</v>
      </c>
      <c r="F56" s="2338" t="s">
        <v>3611</v>
      </c>
      <c r="G56" s="403" t="s">
        <v>3610</v>
      </c>
    </row>
    <row r="57" spans="1:7" ht="26.1" customHeight="1">
      <c r="A57" s="401">
        <v>54</v>
      </c>
      <c r="B57" s="929" t="s">
        <v>53</v>
      </c>
      <c r="C57" s="929" t="s">
        <v>705</v>
      </c>
      <c r="D57" s="899" t="str">
        <f t="shared" si="0"/>
        <v>Qh mit effektivem, thermisch wirksamem Aussenluftvolumenstrom</v>
      </c>
      <c r="E57" s="402" t="s">
        <v>1689</v>
      </c>
      <c r="F57" s="2338" t="s">
        <v>83</v>
      </c>
      <c r="G57" s="403" t="s">
        <v>1267</v>
      </c>
    </row>
    <row r="58" spans="1:7" ht="26.1" customHeight="1">
      <c r="A58" s="401">
        <v>55</v>
      </c>
      <c r="B58" s="929" t="s">
        <v>53</v>
      </c>
      <c r="C58" s="929" t="s">
        <v>879</v>
      </c>
      <c r="D58" s="899" t="str">
        <f t="shared" si="0"/>
        <v>Therm. wirksamer Aussenl.-Volumenstr.</v>
      </c>
      <c r="E58" s="402" t="s">
        <v>33</v>
      </c>
      <c r="F58" s="2338" t="s">
        <v>1519</v>
      </c>
      <c r="G58" s="403" t="s">
        <v>2748</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3448</v>
      </c>
    </row>
    <row r="60" spans="1:7" ht="25.9" customHeight="1">
      <c r="A60" s="401">
        <v>57</v>
      </c>
      <c r="B60" s="929" t="s">
        <v>53</v>
      </c>
      <c r="C60" s="929" t="s">
        <v>880</v>
      </c>
      <c r="D60" s="899" t="str">
        <f t="shared" si="0"/>
        <v>eff. Heizwärmebedarf mit Lüftungsanlage</v>
      </c>
      <c r="E60" s="402" t="s">
        <v>190</v>
      </c>
      <c r="F60" s="2338" t="s">
        <v>1521</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3515</v>
      </c>
      <c r="F61" s="2338" t="s">
        <v>3514</v>
      </c>
      <c r="G61" s="403" t="s">
        <v>3516</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1522</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3449</v>
      </c>
      <c r="G63" s="403" t="s">
        <v>3450</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2749</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1523</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1524</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1525</v>
      </c>
      <c r="G68" s="403" t="s">
        <v>3451</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3452</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3453</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1526</v>
      </c>
      <c r="G71" s="403" t="s">
        <v>1276</v>
      </c>
    </row>
    <row r="72" spans="1:7" ht="26.1" customHeight="1">
      <c r="A72" s="401">
        <v>69</v>
      </c>
      <c r="B72" s="929" t="s">
        <v>622</v>
      </c>
      <c r="C72" s="929" t="s">
        <v>901</v>
      </c>
      <c r="D72" s="899" t="str">
        <f t="shared" si="1"/>
        <v>fehlende Eingabe</v>
      </c>
      <c r="E72" s="402" t="s">
        <v>833</v>
      </c>
      <c r="F72" s="2338" t="s">
        <v>1527</v>
      </c>
      <c r="G72" s="403" t="s">
        <v>1277</v>
      </c>
    </row>
    <row r="73" spans="1:7" ht="26.1" customHeight="1">
      <c r="A73" s="401">
        <v>70</v>
      </c>
      <c r="B73" s="929" t="s">
        <v>622</v>
      </c>
      <c r="C73" s="929" t="s">
        <v>902</v>
      </c>
      <c r="D73" s="899" t="str">
        <f t="shared" si="1"/>
        <v>falsche Eingabe</v>
      </c>
      <c r="E73" s="402" t="s">
        <v>834</v>
      </c>
      <c r="F73" s="2338" t="s">
        <v>3454</v>
      </c>
      <c r="G73" s="403" t="s">
        <v>1278</v>
      </c>
    </row>
    <row r="74" spans="1:7" ht="25.9" customHeight="1">
      <c r="A74" s="401">
        <v>71</v>
      </c>
      <c r="B74" s="929" t="s">
        <v>53</v>
      </c>
      <c r="C74" s="929" t="s">
        <v>904</v>
      </c>
      <c r="D74" s="900" t="str">
        <f t="shared" si="1"/>
        <v>Primäranforde- rung nicht erf.</v>
      </c>
      <c r="E74" s="908" t="s">
        <v>903</v>
      </c>
      <c r="F74" s="904" t="s">
        <v>1528</v>
      </c>
      <c r="G74" s="472" t="s">
        <v>1279</v>
      </c>
    </row>
    <row r="75" spans="1:7" ht="25.9" customHeight="1">
      <c r="A75" s="401">
        <v>72</v>
      </c>
      <c r="B75" s="929" t="s">
        <v>53</v>
      </c>
      <c r="C75" s="929" t="s">
        <v>904</v>
      </c>
      <c r="D75" s="899" t="str">
        <f t="shared" si="1"/>
        <v>Anforderung 2 nicht erfüllt</v>
      </c>
      <c r="E75" s="402" t="s">
        <v>905</v>
      </c>
      <c r="F75" s="2338" t="s">
        <v>1529</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1530</v>
      </c>
      <c r="G81" s="403" t="s">
        <v>1285</v>
      </c>
    </row>
    <row r="82" spans="1:7" ht="26.1" customHeight="1">
      <c r="A82" s="401">
        <v>79</v>
      </c>
      <c r="B82" s="929" t="s">
        <v>622</v>
      </c>
      <c r="C82" s="929" t="s">
        <v>906</v>
      </c>
      <c r="D82" s="899" t="str">
        <f t="shared" si="1"/>
        <v>MFH</v>
      </c>
      <c r="E82" s="402" t="s">
        <v>332</v>
      </c>
      <c r="F82" s="2338" t="s">
        <v>1532</v>
      </c>
      <c r="G82" s="403" t="s">
        <v>1286</v>
      </c>
    </row>
    <row r="83" spans="1:7" ht="26.1" customHeight="1">
      <c r="A83" s="401">
        <v>80</v>
      </c>
      <c r="B83" s="929" t="s">
        <v>622</v>
      </c>
      <c r="C83" s="929" t="s">
        <v>907</v>
      </c>
      <c r="D83" s="899" t="str">
        <f t="shared" si="1"/>
        <v>EFH</v>
      </c>
      <c r="E83" s="402" t="s">
        <v>333</v>
      </c>
      <c r="F83" s="2338" t="s">
        <v>1531</v>
      </c>
      <c r="G83" s="403" t="s">
        <v>1287</v>
      </c>
    </row>
    <row r="84" spans="1:7" ht="26.1" customHeight="1">
      <c r="A84" s="401">
        <v>81</v>
      </c>
      <c r="B84" s="929" t="s">
        <v>622</v>
      </c>
      <c r="C84" s="929" t="s">
        <v>908</v>
      </c>
      <c r="D84" s="899" t="str">
        <f t="shared" si="1"/>
        <v>Verwaltung</v>
      </c>
      <c r="E84" s="402" t="s">
        <v>1</v>
      </c>
      <c r="F84" s="2338" t="s">
        <v>1533</v>
      </c>
      <c r="G84" s="403" t="s">
        <v>1288</v>
      </c>
    </row>
    <row r="85" spans="1:7" ht="26.1" customHeight="1">
      <c r="A85" s="401">
        <v>82</v>
      </c>
      <c r="B85" s="929" t="s">
        <v>622</v>
      </c>
      <c r="C85" s="929" t="s">
        <v>909</v>
      </c>
      <c r="D85" s="899" t="str">
        <f t="shared" si="1"/>
        <v>Schule</v>
      </c>
      <c r="E85" s="402" t="s">
        <v>340</v>
      </c>
      <c r="F85" s="2338" t="s">
        <v>1534</v>
      </c>
      <c r="G85" s="403" t="s">
        <v>1289</v>
      </c>
    </row>
    <row r="86" spans="1:7" ht="26.1" customHeight="1">
      <c r="A86" s="401">
        <v>83</v>
      </c>
      <c r="B86" s="929" t="s">
        <v>622</v>
      </c>
      <c r="C86" s="929" t="s">
        <v>910</v>
      </c>
      <c r="D86" s="899" t="str">
        <f t="shared" si="1"/>
        <v>Verkauf</v>
      </c>
      <c r="E86" s="402" t="s">
        <v>237</v>
      </c>
      <c r="F86" s="2338" t="s">
        <v>1535</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1536</v>
      </c>
      <c r="G88" s="403" t="s">
        <v>1292</v>
      </c>
    </row>
    <row r="89" spans="1:7" ht="25.9" customHeight="1">
      <c r="A89" s="401">
        <v>86</v>
      </c>
      <c r="B89" s="929" t="s">
        <v>622</v>
      </c>
      <c r="C89" s="929" t="s">
        <v>913</v>
      </c>
      <c r="D89" s="899" t="str">
        <f t="shared" si="1"/>
        <v>Spitäler</v>
      </c>
      <c r="E89" s="402" t="s">
        <v>238</v>
      </c>
      <c r="F89" s="2338" t="s">
        <v>1537</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1538</v>
      </c>
      <c r="G91" s="403" t="s">
        <v>1294</v>
      </c>
    </row>
    <row r="92" spans="1:7" ht="25.9" customHeight="1">
      <c r="A92" s="401">
        <v>89</v>
      </c>
      <c r="B92" s="929" t="s">
        <v>622</v>
      </c>
      <c r="C92" s="929" t="s">
        <v>916</v>
      </c>
      <c r="D92" s="899" t="str">
        <f t="shared" si="1"/>
        <v>Sportbau</v>
      </c>
      <c r="E92" s="402" t="s">
        <v>240</v>
      </c>
      <c r="F92" s="2338" t="s">
        <v>1539</v>
      </c>
      <c r="G92" s="403" t="s">
        <v>1295</v>
      </c>
    </row>
    <row r="93" spans="1:7" ht="25.9" customHeight="1">
      <c r="A93" s="401">
        <v>90</v>
      </c>
      <c r="B93" s="929" t="s">
        <v>622</v>
      </c>
      <c r="C93" s="929" t="s">
        <v>917</v>
      </c>
      <c r="D93" s="899" t="str">
        <f t="shared" si="1"/>
        <v>Hallenbad</v>
      </c>
      <c r="E93" s="402" t="str">
        <f>IF(bern,".","Hallenbad")</f>
        <v>Hallenbad</v>
      </c>
      <c r="F93" s="2338" t="str">
        <f>IF(bern,".","Piscine couverte")</f>
        <v>Piscine couverte</v>
      </c>
      <c r="G93" s="403" t="str">
        <f>IF(bern,".","Piscine")</f>
        <v>Piscine</v>
      </c>
    </row>
    <row r="94" spans="1:7" ht="26.1" customHeight="1">
      <c r="A94" s="401">
        <v>91</v>
      </c>
      <c r="B94" s="929" t="s">
        <v>622</v>
      </c>
      <c r="C94" s="929" t="s">
        <v>918</v>
      </c>
      <c r="D94" s="899" t="str">
        <f t="shared" si="1"/>
        <v>keine Lüftung</v>
      </c>
      <c r="E94" s="402" t="s">
        <v>806</v>
      </c>
      <c r="F94" s="2338" t="s">
        <v>1540</v>
      </c>
      <c r="G94" s="403" t="s">
        <v>1296</v>
      </c>
    </row>
    <row r="95" spans="1:7" ht="26.1" customHeight="1">
      <c r="A95" s="401">
        <v>92</v>
      </c>
      <c r="B95" s="929" t="s">
        <v>622</v>
      </c>
      <c r="C95" s="929" t="s">
        <v>919</v>
      </c>
      <c r="D95" s="899" t="str">
        <f t="shared" si="1"/>
        <v>Zu- / Abluft</v>
      </c>
      <c r="E95" s="402" t="s">
        <v>812</v>
      </c>
      <c r="F95" s="2338" t="s">
        <v>3624</v>
      </c>
      <c r="G95" s="403" t="s">
        <v>1297</v>
      </c>
    </row>
    <row r="96" spans="1:7" ht="26.1" customHeight="1">
      <c r="A96" s="401">
        <v>93</v>
      </c>
      <c r="B96" s="929" t="s">
        <v>622</v>
      </c>
      <c r="C96" s="929" t="s">
        <v>920</v>
      </c>
      <c r="D96" s="899" t="str">
        <f t="shared" si="1"/>
        <v>Lüftung+WRG</v>
      </c>
      <c r="E96" s="402" t="s">
        <v>807</v>
      </c>
      <c r="F96" s="2338" t="s">
        <v>1541</v>
      </c>
      <c r="G96" s="403" t="s">
        <v>1298</v>
      </c>
    </row>
    <row r="97" spans="1:7" ht="26.1" customHeight="1">
      <c r="A97" s="401">
        <v>94</v>
      </c>
      <c r="B97" s="929" t="s">
        <v>622</v>
      </c>
      <c r="C97" s="929" t="s">
        <v>921</v>
      </c>
      <c r="D97" s="899" t="str">
        <f t="shared" si="1"/>
        <v>Lüftung+WP</v>
      </c>
      <c r="E97" s="402" t="s">
        <v>810</v>
      </c>
      <c r="F97" s="2338" t="s">
        <v>1542</v>
      </c>
      <c r="G97" s="403" t="s">
        <v>1299</v>
      </c>
    </row>
    <row r="98" spans="1:7" ht="26.1" customHeight="1">
      <c r="A98" s="401">
        <v>95</v>
      </c>
      <c r="B98" s="929" t="s">
        <v>622</v>
      </c>
      <c r="C98" s="929" t="s">
        <v>922</v>
      </c>
      <c r="D98" s="899" t="str">
        <f t="shared" si="1"/>
        <v>nur Abluft</v>
      </c>
      <c r="E98" s="402" t="s">
        <v>813</v>
      </c>
      <c r="F98" s="2338" t="s">
        <v>1543</v>
      </c>
      <c r="G98" s="403" t="s">
        <v>1300</v>
      </c>
    </row>
    <row r="99" spans="1:7" ht="26.1" customHeight="1">
      <c r="A99" s="401">
        <v>96</v>
      </c>
      <c r="B99" s="929" t="s">
        <v>622</v>
      </c>
      <c r="C99" s="929" t="s">
        <v>923</v>
      </c>
      <c r="D99" s="899" t="str">
        <f t="shared" si="1"/>
        <v>Abluft - WP</v>
      </c>
      <c r="E99" s="402" t="s">
        <v>811</v>
      </c>
      <c r="F99" s="2338" t="s">
        <v>1544</v>
      </c>
      <c r="G99" s="403" t="s">
        <v>1301</v>
      </c>
    </row>
    <row r="100" spans="1:7" ht="26.1" customHeight="1">
      <c r="A100" s="401">
        <v>97</v>
      </c>
      <c r="B100" s="929" t="s">
        <v>622</v>
      </c>
      <c r="C100" s="929" t="s">
        <v>924</v>
      </c>
      <c r="D100" s="899" t="str">
        <f t="shared" si="1"/>
        <v>Einzelraumlüft.</v>
      </c>
      <c r="E100" s="402" t="s">
        <v>460</v>
      </c>
      <c r="F100" s="2338" t="s">
        <v>3623</v>
      </c>
      <c r="G100" s="403" t="s">
        <v>1302</v>
      </c>
    </row>
    <row r="101" spans="1:7" ht="26.1" customHeight="1">
      <c r="A101" s="401">
        <v>98</v>
      </c>
      <c r="B101" s="929" t="s">
        <v>622</v>
      </c>
      <c r="C101" s="929" t="s">
        <v>925</v>
      </c>
      <c r="D101" s="899" t="str">
        <f t="shared" si="1"/>
        <v>Auto Fensterl.</v>
      </c>
      <c r="E101" s="402" t="s">
        <v>461</v>
      </c>
      <c r="F101" s="2338" t="s">
        <v>1545</v>
      </c>
      <c r="G101" s="403" t="s">
        <v>1303</v>
      </c>
    </row>
    <row r="102" spans="1:7" ht="26.1" customHeight="1">
      <c r="A102" s="401">
        <v>99</v>
      </c>
      <c r="B102" s="929" t="s">
        <v>622</v>
      </c>
      <c r="C102" s="929" t="s">
        <v>926</v>
      </c>
      <c r="D102" s="899" t="str">
        <f t="shared" si="1"/>
        <v>keine WRG</v>
      </c>
      <c r="E102" s="402" t="s">
        <v>214</v>
      </c>
      <c r="F102" s="2338" t="s">
        <v>1546</v>
      </c>
      <c r="G102" s="403" t="s">
        <v>1304</v>
      </c>
    </row>
    <row r="103" spans="1:7" ht="26.1" customHeight="1">
      <c r="A103" s="909">
        <v>100</v>
      </c>
      <c r="B103" s="929" t="s">
        <v>622</v>
      </c>
      <c r="C103" s="929" t="s">
        <v>927</v>
      </c>
      <c r="D103" s="910" t="str">
        <f t="shared" si="1"/>
        <v>Kreuzstrom</v>
      </c>
      <c r="E103" s="402" t="s">
        <v>352</v>
      </c>
      <c r="F103" s="2338" t="s">
        <v>1547</v>
      </c>
      <c r="G103" s="913" t="s">
        <v>1305</v>
      </c>
    </row>
    <row r="104" spans="1:7" s="914" customFormat="1" ht="26.1" customHeight="1">
      <c r="A104" s="401">
        <v>101</v>
      </c>
      <c r="B104" s="929" t="s">
        <v>622</v>
      </c>
      <c r="C104" s="929" t="s">
        <v>928</v>
      </c>
      <c r="D104" s="899" t="str">
        <f t="shared" si="1"/>
        <v>Gegenstrom</v>
      </c>
      <c r="E104" s="402" t="s">
        <v>353</v>
      </c>
      <c r="F104" s="2338" t="s">
        <v>1548</v>
      </c>
      <c r="G104" s="403" t="s">
        <v>1306</v>
      </c>
    </row>
    <row r="105" spans="1:7" ht="26.1" customHeight="1">
      <c r="A105" s="470">
        <v>102</v>
      </c>
      <c r="B105" s="929" t="s">
        <v>622</v>
      </c>
      <c r="C105" s="929" t="s">
        <v>929</v>
      </c>
      <c r="D105" s="900" t="str">
        <f t="shared" si="1"/>
        <v>Rotations-WT</v>
      </c>
      <c r="E105" s="402" t="s">
        <v>631</v>
      </c>
      <c r="F105" s="2338" t="s">
        <v>1549</v>
      </c>
      <c r="G105" s="472" t="s">
        <v>1307</v>
      </c>
    </row>
    <row r="106" spans="1:7" ht="26.1" customHeight="1">
      <c r="A106" s="401">
        <v>103</v>
      </c>
      <c r="B106" s="929" t="s">
        <v>622</v>
      </c>
      <c r="C106" s="929" t="s">
        <v>930</v>
      </c>
      <c r="D106" s="899" t="str">
        <f t="shared" si="1"/>
        <v>Kreislauf-KVS</v>
      </c>
      <c r="E106" s="402" t="s">
        <v>131</v>
      </c>
      <c r="F106" s="2338" t="s">
        <v>1550</v>
      </c>
      <c r="G106" s="403" t="s">
        <v>1308</v>
      </c>
    </row>
    <row r="107" spans="1:7" ht="26.1" customHeight="1">
      <c r="A107" s="401">
        <v>104</v>
      </c>
      <c r="B107" s="929" t="s">
        <v>622</v>
      </c>
      <c r="C107" s="929" t="s">
        <v>931</v>
      </c>
      <c r="D107" s="899" t="str">
        <f t="shared" si="1"/>
        <v>AC-Motor</v>
      </c>
      <c r="E107" s="402" t="s">
        <v>643</v>
      </c>
      <c r="F107" s="2338" t="s">
        <v>1551</v>
      </c>
      <c r="G107" s="403" t="s">
        <v>1309</v>
      </c>
    </row>
    <row r="108" spans="1:7" ht="26.1" customHeight="1">
      <c r="A108" s="401">
        <v>105</v>
      </c>
      <c r="B108" s="929" t="s">
        <v>622</v>
      </c>
      <c r="C108" s="929" t="s">
        <v>932</v>
      </c>
      <c r="D108" s="899" t="str">
        <f t="shared" si="1"/>
        <v>DC/EC-Motor</v>
      </c>
      <c r="E108" s="402" t="s">
        <v>644</v>
      </c>
      <c r="F108" s="2338" t="s">
        <v>1552</v>
      </c>
      <c r="G108" s="403" t="s">
        <v>1310</v>
      </c>
    </row>
    <row r="109" spans="1:7" ht="26.1" customHeight="1">
      <c r="A109" s="401">
        <v>106</v>
      </c>
      <c r="B109" s="929" t="s">
        <v>706</v>
      </c>
      <c r="C109" s="929" t="s">
        <v>3813</v>
      </c>
      <c r="D109" s="899" t="str">
        <f t="shared" si="1"/>
        <v>Deckungsgrad zu hoch</v>
      </c>
      <c r="E109" s="402" t="s">
        <v>25</v>
      </c>
      <c r="F109" s="2338" t="s">
        <v>540</v>
      </c>
      <c r="G109" s="403" t="s">
        <v>1311</v>
      </c>
    </row>
    <row r="110" spans="1:7" ht="26.1" customHeight="1">
      <c r="A110" s="401">
        <v>107</v>
      </c>
      <c r="D110" s="899" t="str">
        <f t="shared" si="1"/>
        <v>Heizung ausgewählt</v>
      </c>
      <c r="E110" s="402" t="s">
        <v>26</v>
      </c>
      <c r="F110" s="2338" t="s">
        <v>541</v>
      </c>
      <c r="G110" s="403" t="s">
        <v>1312</v>
      </c>
    </row>
    <row r="111" spans="1:7" ht="26.1" customHeight="1">
      <c r="A111" s="401">
        <v>108</v>
      </c>
      <c r="D111" s="899" t="str">
        <f t="shared" si="1"/>
        <v>Warmwasser ausgewählt</v>
      </c>
      <c r="E111" s="402" t="s">
        <v>27</v>
      </c>
      <c r="F111" s="2338" t="s">
        <v>542</v>
      </c>
      <c r="G111" s="403" t="s">
        <v>1313</v>
      </c>
    </row>
    <row r="112" spans="1:7" ht="26.1" customHeight="1">
      <c r="A112" s="401">
        <v>109</v>
      </c>
      <c r="D112" s="899" t="str">
        <f t="shared" si="1"/>
        <v>Berechnung beilege</v>
      </c>
      <c r="E112" s="402" t="s">
        <v>28</v>
      </c>
      <c r="F112" s="2338" t="s">
        <v>543</v>
      </c>
      <c r="G112" s="403" t="s">
        <v>1314</v>
      </c>
    </row>
    <row r="113" spans="1:7" ht="26.1" customHeight="1">
      <c r="A113" s="401">
        <v>110</v>
      </c>
      <c r="D113" s="899" t="str">
        <f t="shared" si="1"/>
        <v>Zusätzlich Elektro-Wassererwärmer wählen</v>
      </c>
      <c r="E113" s="402" t="s">
        <v>187</v>
      </c>
      <c r="F113" s="2338" t="s">
        <v>544</v>
      </c>
      <c r="G113" s="403" t="s">
        <v>1315</v>
      </c>
    </row>
    <row r="114" spans="1:7" ht="26.1" customHeight="1">
      <c r="A114" s="401">
        <v>111</v>
      </c>
      <c r="D114" s="899" t="str">
        <f t="shared" si="1"/>
        <v>Externe Berechnung beilegen</v>
      </c>
      <c r="E114" s="402" t="s">
        <v>448</v>
      </c>
      <c r="F114" s="2338" t="s">
        <v>537</v>
      </c>
      <c r="G114" s="403" t="s">
        <v>1316</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1317</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1318</v>
      </c>
    </row>
    <row r="117" spans="1:7" ht="25.9" customHeight="1">
      <c r="A117" s="470">
        <v>114</v>
      </c>
      <c r="B117" s="929" t="s">
        <v>53</v>
      </c>
      <c r="C117" s="901" t="s">
        <v>1203</v>
      </c>
      <c r="D117" s="900" t="str">
        <f t="shared" si="1"/>
        <v xml:space="preserve">EGID:  </v>
      </c>
      <c r="E117" s="402" t="s">
        <v>1204</v>
      </c>
      <c r="F117" s="2338" t="s">
        <v>1319</v>
      </c>
      <c r="G117" s="472" t="s">
        <v>1319</v>
      </c>
    </row>
    <row r="118" spans="1:7" ht="25.9" customHeight="1">
      <c r="A118" s="401">
        <v>115</v>
      </c>
      <c r="B118" s="929" t="s">
        <v>622</v>
      </c>
      <c r="C118" s="929" t="s">
        <v>54</v>
      </c>
      <c r="D118" s="899" t="str">
        <f t="shared" si="1"/>
        <v>Aargau</v>
      </c>
      <c r="E118" s="402" t="s">
        <v>610</v>
      </c>
      <c r="F118" s="2338" t="s">
        <v>558</v>
      </c>
      <c r="G118" s="403" t="s">
        <v>1320</v>
      </c>
    </row>
    <row r="119" spans="1:7" ht="25.9" customHeight="1">
      <c r="A119" s="401">
        <v>116</v>
      </c>
      <c r="B119" s="929" t="s">
        <v>622</v>
      </c>
      <c r="C119" s="929" t="s">
        <v>55</v>
      </c>
      <c r="D119" s="899" t="str">
        <f t="shared" si="1"/>
        <v>Appenzell Innerrhoden</v>
      </c>
      <c r="E119" s="402" t="s">
        <v>611</v>
      </c>
      <c r="F119" s="2338" t="s">
        <v>559</v>
      </c>
      <c r="G119" s="403" t="s">
        <v>1321</v>
      </c>
    </row>
    <row r="120" spans="1:7" ht="25.9" customHeight="1">
      <c r="A120" s="401">
        <v>117</v>
      </c>
      <c r="B120" s="929" t="s">
        <v>622</v>
      </c>
      <c r="C120" s="929" t="s">
        <v>56</v>
      </c>
      <c r="D120" s="899" t="str">
        <f t="shared" si="1"/>
        <v>Appenzell Ausserrhoden</v>
      </c>
      <c r="E120" s="402" t="s">
        <v>612</v>
      </c>
      <c r="F120" s="2338" t="s">
        <v>1711</v>
      </c>
      <c r="G120" s="403" t="s">
        <v>1322</v>
      </c>
    </row>
    <row r="121" spans="1:7" ht="25.9" customHeight="1">
      <c r="A121" s="401">
        <v>118</v>
      </c>
      <c r="B121" s="929" t="s">
        <v>622</v>
      </c>
      <c r="C121" s="929" t="s">
        <v>57</v>
      </c>
      <c r="D121" s="899" t="str">
        <f t="shared" si="1"/>
        <v>Bern</v>
      </c>
      <c r="E121" s="402" t="s">
        <v>280</v>
      </c>
      <c r="F121" s="2338" t="s">
        <v>560</v>
      </c>
      <c r="G121" s="403" t="s">
        <v>1323</v>
      </c>
    </row>
    <row r="122" spans="1:7" ht="25.9" customHeight="1">
      <c r="A122" s="401">
        <v>119</v>
      </c>
      <c r="B122" s="929" t="s">
        <v>622</v>
      </c>
      <c r="C122" s="929" t="s">
        <v>58</v>
      </c>
      <c r="D122" s="899" t="str">
        <f t="shared" si="1"/>
        <v>Basel Land</v>
      </c>
      <c r="E122" s="402" t="s">
        <v>613</v>
      </c>
      <c r="F122" s="2338" t="s">
        <v>561</v>
      </c>
      <c r="G122" s="403" t="s">
        <v>1324</v>
      </c>
    </row>
    <row r="123" spans="1:7" ht="25.9" customHeight="1">
      <c r="A123" s="401">
        <v>120</v>
      </c>
      <c r="B123" s="929" t="s">
        <v>622</v>
      </c>
      <c r="C123" s="929" t="s">
        <v>59</v>
      </c>
      <c r="D123" s="899" t="str">
        <f t="shared" si="1"/>
        <v>Basel Stadt</v>
      </c>
      <c r="E123" s="402" t="s">
        <v>614</v>
      </c>
      <c r="F123" s="2338" t="s">
        <v>562</v>
      </c>
      <c r="G123" s="403" t="s">
        <v>1325</v>
      </c>
    </row>
    <row r="124" spans="1:7" ht="25.9" customHeight="1">
      <c r="A124" s="401">
        <v>121</v>
      </c>
      <c r="B124" s="929" t="s">
        <v>622</v>
      </c>
      <c r="C124" s="929" t="s">
        <v>60</v>
      </c>
      <c r="D124" s="899" t="str">
        <f t="shared" si="1"/>
        <v>Fribourg</v>
      </c>
      <c r="E124" s="402" t="s">
        <v>283</v>
      </c>
      <c r="F124" s="2338" t="s">
        <v>283</v>
      </c>
      <c r="G124" s="403" t="s">
        <v>1326</v>
      </c>
    </row>
    <row r="125" spans="1:7" ht="25.9" customHeight="1">
      <c r="A125" s="401">
        <v>122</v>
      </c>
      <c r="B125" s="929" t="s">
        <v>622</v>
      </c>
      <c r="C125" s="929" t="s">
        <v>61</v>
      </c>
      <c r="D125" s="899" t="str">
        <f t="shared" si="1"/>
        <v>Genève</v>
      </c>
      <c r="E125" s="402" t="s">
        <v>284</v>
      </c>
      <c r="F125" s="2338" t="s">
        <v>284</v>
      </c>
      <c r="G125" s="403" t="s">
        <v>1327</v>
      </c>
    </row>
    <row r="126" spans="1:7" ht="25.9" customHeight="1">
      <c r="A126" s="401">
        <v>123</v>
      </c>
      <c r="B126" s="929" t="s">
        <v>622</v>
      </c>
      <c r="C126" s="929" t="s">
        <v>62</v>
      </c>
      <c r="D126" s="899" t="str">
        <f t="shared" si="1"/>
        <v>Glarus</v>
      </c>
      <c r="E126" s="402" t="s">
        <v>288</v>
      </c>
      <c r="F126" s="2338" t="s">
        <v>563</v>
      </c>
      <c r="G126" s="403" t="s">
        <v>1328</v>
      </c>
    </row>
    <row r="127" spans="1:7" ht="25.9" customHeight="1">
      <c r="A127" s="401">
        <v>124</v>
      </c>
      <c r="B127" s="929" t="s">
        <v>622</v>
      </c>
      <c r="C127" s="929" t="s">
        <v>63</v>
      </c>
      <c r="D127" s="899" t="str">
        <f t="shared" si="1"/>
        <v>Graubünden</v>
      </c>
      <c r="E127" s="402" t="s">
        <v>453</v>
      </c>
      <c r="F127" s="2338" t="s">
        <v>1712</v>
      </c>
      <c r="G127" s="403" t="s">
        <v>1329</v>
      </c>
    </row>
    <row r="128" spans="1:7" ht="25.9" customHeight="1">
      <c r="A128" s="401">
        <v>125</v>
      </c>
      <c r="B128" s="929" t="s">
        <v>622</v>
      </c>
      <c r="C128" s="929" t="s">
        <v>861</v>
      </c>
      <c r="D128" s="899" t="str">
        <f t="shared" si="1"/>
        <v>Jura</v>
      </c>
      <c r="E128" s="402" t="s">
        <v>435</v>
      </c>
      <c r="F128" s="2338" t="s">
        <v>435</v>
      </c>
      <c r="G128" s="403" t="s">
        <v>1330</v>
      </c>
    </row>
    <row r="129" spans="1:7" ht="25.9" customHeight="1">
      <c r="A129" s="401">
        <v>126</v>
      </c>
      <c r="B129" s="929" t="s">
        <v>622</v>
      </c>
      <c r="C129" s="929" t="s">
        <v>64</v>
      </c>
      <c r="D129" s="899" t="str">
        <f t="shared" si="1"/>
        <v>Luzern</v>
      </c>
      <c r="E129" s="402" t="s">
        <v>281</v>
      </c>
      <c r="F129" s="2338" t="s">
        <v>564</v>
      </c>
      <c r="G129" s="403" t="s">
        <v>1331</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1332</v>
      </c>
    </row>
    <row r="132" spans="1:7" ht="25.9" customHeight="1">
      <c r="A132" s="401">
        <v>129</v>
      </c>
      <c r="B132" s="929" t="s">
        <v>622</v>
      </c>
      <c r="C132" s="929" t="s">
        <v>67</v>
      </c>
      <c r="D132" s="899" t="str">
        <f t="shared" si="1"/>
        <v>Obwalden</v>
      </c>
      <c r="E132" s="402" t="s">
        <v>450</v>
      </c>
      <c r="F132" s="2338" t="s">
        <v>566</v>
      </c>
      <c r="G132" s="403" t="s">
        <v>1333</v>
      </c>
    </row>
    <row r="133" spans="1:7" ht="25.9" customHeight="1">
      <c r="A133" s="401">
        <v>130</v>
      </c>
      <c r="B133" s="929" t="s">
        <v>622</v>
      </c>
      <c r="C133" s="929" t="s">
        <v>68</v>
      </c>
      <c r="D133" s="899" t="str">
        <f t="shared" ref="D133:D196" si="2">INDEX($E$4:$G$503,$A133,$A$1)</f>
        <v>St. Gallen</v>
      </c>
      <c r="E133" s="402" t="s">
        <v>276</v>
      </c>
      <c r="F133" s="2338" t="s">
        <v>567</v>
      </c>
      <c r="G133" s="403" t="s">
        <v>1334</v>
      </c>
    </row>
    <row r="134" spans="1:7" ht="25.9" customHeight="1">
      <c r="A134" s="401">
        <v>131</v>
      </c>
      <c r="B134" s="929" t="s">
        <v>622</v>
      </c>
      <c r="C134" s="929" t="s">
        <v>69</v>
      </c>
      <c r="D134" s="899" t="str">
        <f t="shared" si="2"/>
        <v>Schaffhausen</v>
      </c>
      <c r="E134" s="402" t="s">
        <v>274</v>
      </c>
      <c r="F134" s="2338" t="s">
        <v>568</v>
      </c>
      <c r="G134" s="403" t="s">
        <v>1335</v>
      </c>
    </row>
    <row r="135" spans="1:7" ht="25.9" customHeight="1">
      <c r="A135" s="401">
        <v>132</v>
      </c>
      <c r="B135" s="929" t="s">
        <v>622</v>
      </c>
      <c r="C135" s="929" t="s">
        <v>70</v>
      </c>
      <c r="D135" s="899" t="str">
        <f t="shared" si="2"/>
        <v>Solothurn</v>
      </c>
      <c r="E135" s="402" t="s">
        <v>263</v>
      </c>
      <c r="F135" s="2338" t="s">
        <v>569</v>
      </c>
      <c r="G135" s="403" t="s">
        <v>1336</v>
      </c>
    </row>
    <row r="136" spans="1:7" ht="25.9" customHeight="1">
      <c r="A136" s="401">
        <v>133</v>
      </c>
      <c r="B136" s="929" t="s">
        <v>622</v>
      </c>
      <c r="C136" s="929" t="s">
        <v>71</v>
      </c>
      <c r="D136" s="899" t="str">
        <f t="shared" si="2"/>
        <v>Schwyz</v>
      </c>
      <c r="E136" s="402" t="s">
        <v>449</v>
      </c>
      <c r="F136" s="2338" t="s">
        <v>570</v>
      </c>
      <c r="G136" s="403" t="s">
        <v>1337</v>
      </c>
    </row>
    <row r="137" spans="1:7" ht="25.9" customHeight="1">
      <c r="A137" s="401">
        <v>134</v>
      </c>
      <c r="B137" s="929" t="s">
        <v>622</v>
      </c>
      <c r="C137" s="929" t="s">
        <v>72</v>
      </c>
      <c r="D137" s="899" t="str">
        <f t="shared" si="2"/>
        <v>Thurgau</v>
      </c>
      <c r="E137" s="402" t="s">
        <v>434</v>
      </c>
      <c r="F137" s="2338" t="s">
        <v>571</v>
      </c>
      <c r="G137" s="403" t="s">
        <v>1338</v>
      </c>
    </row>
    <row r="138" spans="1:7" ht="25.9" customHeight="1">
      <c r="A138" s="401">
        <v>135</v>
      </c>
      <c r="B138" s="929" t="s">
        <v>622</v>
      </c>
      <c r="C138" s="929" t="s">
        <v>73</v>
      </c>
      <c r="D138" s="899" t="str">
        <f t="shared" si="2"/>
        <v>Tessin</v>
      </c>
      <c r="E138" s="402" t="s">
        <v>454</v>
      </c>
      <c r="F138" s="2338" t="s">
        <v>454</v>
      </c>
      <c r="G138" s="403" t="s">
        <v>1339</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1340</v>
      </c>
    </row>
    <row r="142" spans="1:7" ht="25.9" customHeight="1">
      <c r="A142" s="401">
        <v>139</v>
      </c>
      <c r="B142" s="929" t="s">
        <v>622</v>
      </c>
      <c r="C142" s="929" t="s">
        <v>77</v>
      </c>
      <c r="D142" s="899" t="str">
        <f t="shared" si="2"/>
        <v>Zug</v>
      </c>
      <c r="E142" s="402" t="s">
        <v>432</v>
      </c>
      <c r="F142" s="2338" t="s">
        <v>574</v>
      </c>
      <c r="G142" s="403" t="s">
        <v>1341</v>
      </c>
    </row>
    <row r="143" spans="1:7" ht="25.9" customHeight="1">
      <c r="A143" s="401">
        <v>140</v>
      </c>
      <c r="B143" s="929" t="s">
        <v>622</v>
      </c>
      <c r="C143" s="929" t="s">
        <v>78</v>
      </c>
      <c r="D143" s="899" t="str">
        <f t="shared" si="2"/>
        <v>Zürich</v>
      </c>
      <c r="E143" s="402" t="s">
        <v>433</v>
      </c>
      <c r="F143" s="2338" t="s">
        <v>575</v>
      </c>
      <c r="G143" s="403" t="s">
        <v>1342</v>
      </c>
    </row>
    <row r="144" spans="1:7" ht="25.9" customHeight="1">
      <c r="A144" s="401">
        <v>141</v>
      </c>
      <c r="B144" s="929" t="s">
        <v>622</v>
      </c>
      <c r="C144" s="929" t="s">
        <v>79</v>
      </c>
      <c r="D144" s="899" t="str">
        <f t="shared" si="2"/>
        <v>Fürstentum Liechtenstein</v>
      </c>
      <c r="E144" s="402" t="s">
        <v>616</v>
      </c>
      <c r="F144" s="2338" t="s">
        <v>576</v>
      </c>
      <c r="G144" s="403" t="s">
        <v>1343</v>
      </c>
    </row>
    <row r="145" spans="1:7" ht="25.9" customHeight="1">
      <c r="A145" s="401">
        <v>142</v>
      </c>
      <c r="B145" s="929" t="s">
        <v>622</v>
      </c>
      <c r="C145" s="929" t="s">
        <v>548</v>
      </c>
      <c r="D145" s="899" t="str">
        <f t="shared" si="2"/>
        <v>Spezial</v>
      </c>
      <c r="E145" s="402" t="s">
        <v>547</v>
      </c>
      <c r="F145" s="2338" t="s">
        <v>577</v>
      </c>
      <c r="G145" s="403" t="s">
        <v>1344</v>
      </c>
    </row>
    <row r="146" spans="1:7" ht="25.9" customHeight="1">
      <c r="A146" s="401">
        <v>143</v>
      </c>
      <c r="B146" s="929" t="s">
        <v>53</v>
      </c>
      <c r="C146" s="929" t="s">
        <v>933</v>
      </c>
      <c r="D146" s="899" t="str">
        <f t="shared" si="2"/>
        <v>Unterschriften</v>
      </c>
      <c r="E146" s="402" t="s">
        <v>761</v>
      </c>
      <c r="F146" s="2338" t="s">
        <v>1553</v>
      </c>
      <c r="G146" s="403" t="s">
        <v>1345</v>
      </c>
    </row>
    <row r="147" spans="1:7" ht="25.9" customHeight="1">
      <c r="A147" s="401">
        <v>144</v>
      </c>
      <c r="B147" s="929" t="s">
        <v>53</v>
      </c>
      <c r="C147" s="929" t="s">
        <v>934</v>
      </c>
      <c r="D147" s="899" t="str">
        <f t="shared" si="2"/>
        <v xml:space="preserve"> Nachweis erarbeitet durch:</v>
      </c>
      <c r="E147" s="402" t="s">
        <v>762</v>
      </c>
      <c r="F147" s="2338" t="s">
        <v>1554</v>
      </c>
      <c r="G147" s="403" t="s">
        <v>1346</v>
      </c>
    </row>
    <row r="148" spans="1:7" ht="25.9" customHeight="1">
      <c r="A148" s="401">
        <v>145</v>
      </c>
      <c r="B148" s="929" t="s">
        <v>53</v>
      </c>
      <c r="C148" s="929" t="s">
        <v>935</v>
      </c>
      <c r="D148" s="899" t="str">
        <f t="shared" si="2"/>
        <v xml:space="preserve"> Nachweisprüfung / Private Kontrolle:</v>
      </c>
      <c r="E148" s="402" t="s">
        <v>763</v>
      </c>
      <c r="F148" s="2338" t="s">
        <v>1555</v>
      </c>
      <c r="G148" s="403" t="s">
        <v>1347</v>
      </c>
    </row>
    <row r="149" spans="1:7" ht="25.9" customHeight="1">
      <c r="A149" s="401">
        <v>146</v>
      </c>
      <c r="B149" s="929" t="s">
        <v>53</v>
      </c>
      <c r="C149" s="929" t="s">
        <v>936</v>
      </c>
      <c r="D149" s="899" t="str">
        <f t="shared" si="2"/>
        <v xml:space="preserve"> Die Richtigkeit bescheinigt</v>
      </c>
      <c r="E149" s="402" t="s">
        <v>764</v>
      </c>
      <c r="F149" s="2338" t="s">
        <v>1556</v>
      </c>
      <c r="G149" s="403" t="s">
        <v>1348</v>
      </c>
    </row>
    <row r="150" spans="1:7" ht="25.9" customHeight="1">
      <c r="A150" s="401">
        <v>147</v>
      </c>
      <c r="B150" s="929" t="s">
        <v>53</v>
      </c>
      <c r="C150" s="929" t="s">
        <v>937</v>
      </c>
      <c r="D150" s="899" t="str">
        <f t="shared" si="2"/>
        <v>Name und Adresse</v>
      </c>
      <c r="E150" s="402" t="s">
        <v>765</v>
      </c>
      <c r="F150" s="2338" t="s">
        <v>1557</v>
      </c>
      <c r="G150" s="403" t="s">
        <v>1349</v>
      </c>
    </row>
    <row r="151" spans="1:7" ht="25.9" customHeight="1">
      <c r="A151" s="401">
        <v>148</v>
      </c>
      <c r="B151" s="929" t="s">
        <v>53</v>
      </c>
      <c r="C151" s="929" t="s">
        <v>938</v>
      </c>
      <c r="D151" s="899" t="str">
        <f t="shared" si="2"/>
        <v>bzw. Firmenstempel</v>
      </c>
      <c r="E151" s="402" t="s">
        <v>766</v>
      </c>
      <c r="F151" s="2338" t="s">
        <v>1558</v>
      </c>
      <c r="G151" s="403" t="s">
        <v>1350</v>
      </c>
    </row>
    <row r="152" spans="1:7" ht="25.9" customHeight="1">
      <c r="A152" s="401">
        <v>149</v>
      </c>
      <c r="B152" s="929" t="s">
        <v>53</v>
      </c>
      <c r="C152" s="929" t="s">
        <v>939</v>
      </c>
      <c r="D152" s="899" t="str">
        <f t="shared" si="2"/>
        <v>Sachbearbeiter/-in, Tel.:</v>
      </c>
      <c r="E152" s="402" t="s">
        <v>767</v>
      </c>
      <c r="F152" s="2338" t="s">
        <v>1559</v>
      </c>
      <c r="G152" s="403" t="s">
        <v>1351</v>
      </c>
    </row>
    <row r="153" spans="1:7" ht="25.9" customHeight="1">
      <c r="A153" s="401">
        <v>150</v>
      </c>
      <c r="B153" s="929" t="s">
        <v>53</v>
      </c>
      <c r="C153" s="929" t="s">
        <v>942</v>
      </c>
      <c r="D153" s="899" t="str">
        <f t="shared" si="2"/>
        <v>Ort, Datum, Unterschrift:</v>
      </c>
      <c r="E153" s="402" t="s">
        <v>768</v>
      </c>
      <c r="F153" s="2338" t="s">
        <v>1560</v>
      </c>
      <c r="G153" s="403" t="s">
        <v>1352</v>
      </c>
    </row>
    <row r="154" spans="1:7" ht="25.9" customHeight="1">
      <c r="A154" s="401">
        <v>151</v>
      </c>
      <c r="B154" s="929" t="s">
        <v>53</v>
      </c>
      <c r="C154" s="929" t="s">
        <v>943</v>
      </c>
      <c r="D154" s="899" t="str">
        <f t="shared" si="2"/>
        <v>Ausführungskontrolle:</v>
      </c>
      <c r="E154" s="402" t="s">
        <v>769</v>
      </c>
      <c r="F154" s="2338" t="s">
        <v>1561</v>
      </c>
      <c r="G154" s="403" t="s">
        <v>1353</v>
      </c>
    </row>
    <row r="155" spans="1:7" ht="25.9" customHeight="1">
      <c r="A155" s="401">
        <v>152</v>
      </c>
      <c r="B155" s="929" t="s">
        <v>53</v>
      </c>
      <c r="C155" s="929" t="s">
        <v>945</v>
      </c>
      <c r="D155" s="899" t="str">
        <f t="shared" si="2"/>
        <v>Gleiche Person</v>
      </c>
      <c r="E155" s="402" t="s">
        <v>777</v>
      </c>
      <c r="F155" s="2338" t="s">
        <v>1562</v>
      </c>
      <c r="G155" s="403" t="s">
        <v>1354</v>
      </c>
    </row>
    <row r="156" spans="1:7" ht="25.9" customHeight="1">
      <c r="A156" s="919">
        <v>153</v>
      </c>
      <c r="B156" s="932" t="s">
        <v>53</v>
      </c>
      <c r="C156" s="932" t="s">
        <v>946</v>
      </c>
      <c r="D156" s="920" t="str">
        <f t="shared" si="2"/>
        <v>oder:</v>
      </c>
      <c r="E156" s="921" t="s">
        <v>778</v>
      </c>
      <c r="F156" s="922" t="s">
        <v>1563</v>
      </c>
      <c r="G156" s="923" t="s">
        <v>1355</v>
      </c>
    </row>
    <row r="157" spans="1:7" ht="25.9" customHeight="1">
      <c r="A157" s="470">
        <v>154</v>
      </c>
      <c r="B157" s="929" t="s">
        <v>622</v>
      </c>
      <c r="C157" s="929" t="s">
        <v>948</v>
      </c>
      <c r="D157" s="900" t="str">
        <f t="shared" si="2"/>
        <v>Ölfeuerung</v>
      </c>
      <c r="E157" s="471" t="s">
        <v>203</v>
      </c>
      <c r="F157" s="904" t="s">
        <v>1564</v>
      </c>
      <c r="G157" s="472" t="s">
        <v>1356</v>
      </c>
    </row>
    <row r="158" spans="1:7" ht="25.9" customHeight="1">
      <c r="A158" s="401">
        <v>155</v>
      </c>
      <c r="B158" s="929" t="s">
        <v>622</v>
      </c>
      <c r="C158" s="929" t="s">
        <v>949</v>
      </c>
      <c r="D158" s="899" t="str">
        <f t="shared" si="2"/>
        <v>Ölfeuerung kondensierend nur Heizung</v>
      </c>
      <c r="E158" s="402" t="s">
        <v>86</v>
      </c>
      <c r="F158" s="2338" t="s">
        <v>1565</v>
      </c>
      <c r="G158" s="403" t="s">
        <v>1357</v>
      </c>
    </row>
    <row r="159" spans="1:7" ht="25.9" customHeight="1">
      <c r="A159" s="401">
        <v>156</v>
      </c>
      <c r="B159" s="929" t="s">
        <v>622</v>
      </c>
      <c r="C159" s="929" t="s">
        <v>950</v>
      </c>
      <c r="D159" s="899" t="str">
        <f t="shared" si="2"/>
        <v>Ölfeuerung kondensierend nur Warmwasser</v>
      </c>
      <c r="E159" s="402" t="s">
        <v>87</v>
      </c>
      <c r="F159" s="2338" t="s">
        <v>1566</v>
      </c>
      <c r="G159" s="403" t="s">
        <v>1358</v>
      </c>
    </row>
    <row r="160" spans="1:7" ht="25.9" customHeight="1">
      <c r="A160" s="401">
        <v>157</v>
      </c>
      <c r="B160" s="929" t="s">
        <v>622</v>
      </c>
      <c r="C160" s="929" t="s">
        <v>951</v>
      </c>
      <c r="D160" s="899" t="str">
        <f t="shared" si="2"/>
        <v>Gasfeuerung</v>
      </c>
      <c r="E160" s="402" t="s">
        <v>204</v>
      </c>
      <c r="F160" s="2338" t="s">
        <v>1567</v>
      </c>
      <c r="G160" s="403" t="s">
        <v>1359</v>
      </c>
    </row>
    <row r="161" spans="1:7" ht="25.9" customHeight="1">
      <c r="A161" s="401">
        <v>158</v>
      </c>
      <c r="B161" s="929" t="s">
        <v>622</v>
      </c>
      <c r="C161" s="929" t="s">
        <v>952</v>
      </c>
      <c r="D161" s="899" t="str">
        <f t="shared" si="2"/>
        <v>Gasfeuerung kondensierend nur Heizung</v>
      </c>
      <c r="E161" s="402" t="s">
        <v>88</v>
      </c>
      <c r="F161" s="2338" t="s">
        <v>1568</v>
      </c>
      <c r="G161" s="403" t="s">
        <v>1360</v>
      </c>
    </row>
    <row r="162" spans="1:7" ht="25.9" customHeight="1">
      <c r="A162" s="401">
        <v>159</v>
      </c>
      <c r="B162" s="929" t="s">
        <v>622</v>
      </c>
      <c r="C162" s="929" t="s">
        <v>953</v>
      </c>
      <c r="D162" s="899" t="str">
        <f t="shared" si="2"/>
        <v>Gasfeuerung kondensierend nur Warmwasser</v>
      </c>
      <c r="E162" s="402" t="s">
        <v>89</v>
      </c>
      <c r="F162" s="2338" t="s">
        <v>1569</v>
      </c>
      <c r="G162" s="403" t="s">
        <v>1361</v>
      </c>
    </row>
    <row r="163" spans="1:7" ht="26.1" customHeight="1">
      <c r="A163" s="401">
        <v>160</v>
      </c>
      <c r="B163" s="929" t="s">
        <v>622</v>
      </c>
      <c r="C163" s="929" t="s">
        <v>954</v>
      </c>
      <c r="D163" s="899" t="str">
        <f t="shared" si="2"/>
        <v>Gas - Wassererwärmer</v>
      </c>
      <c r="E163" s="402" t="s">
        <v>205</v>
      </c>
      <c r="F163" s="2338" t="s">
        <v>1570</v>
      </c>
      <c r="G163" s="403" t="s">
        <v>1362</v>
      </c>
    </row>
    <row r="164" spans="1:7" ht="26.1" customHeight="1">
      <c r="A164" s="401">
        <v>161</v>
      </c>
      <c r="B164" s="929" t="s">
        <v>622</v>
      </c>
      <c r="C164" s="929" t="s">
        <v>955</v>
      </c>
      <c r="D164" s="899" t="str">
        <f t="shared" si="2"/>
        <v>Holzfeuerung</v>
      </c>
      <c r="E164" s="402" t="s">
        <v>318</v>
      </c>
      <c r="F164" s="2338" t="s">
        <v>1571</v>
      </c>
      <c r="G164" s="403" t="s">
        <v>1363</v>
      </c>
    </row>
    <row r="165" spans="1:7" ht="26.1" customHeight="1">
      <c r="A165" s="401">
        <v>162</v>
      </c>
      <c r="B165" s="929" t="s">
        <v>622</v>
      </c>
      <c r="C165" s="929" t="s">
        <v>956</v>
      </c>
      <c r="D165" s="899" t="str">
        <f t="shared" si="2"/>
        <v>Pelletfeuerung</v>
      </c>
      <c r="E165" s="402" t="s">
        <v>22</v>
      </c>
      <c r="F165" s="2338" t="s">
        <v>1572</v>
      </c>
      <c r="G165" s="403" t="s">
        <v>1364</v>
      </c>
    </row>
    <row r="166" spans="1:7" ht="26.1" customHeight="1">
      <c r="A166" s="401">
        <v>163</v>
      </c>
      <c r="B166" s="929" t="s">
        <v>622</v>
      </c>
      <c r="C166" s="929" t="s">
        <v>957</v>
      </c>
      <c r="D166" s="899" t="str">
        <f t="shared" si="2"/>
        <v>Fernwärme (inkl. Abwärme aus KVA,ARA), &lt;=50% nicht erneuerbar</v>
      </c>
      <c r="E166" s="402" t="s">
        <v>1225</v>
      </c>
      <c r="F166" s="2338" t="s">
        <v>1573</v>
      </c>
      <c r="G166" s="403" t="s">
        <v>1479</v>
      </c>
    </row>
    <row r="167" spans="1:7" ht="26.1" customHeight="1">
      <c r="A167" s="401">
        <v>164</v>
      </c>
      <c r="B167" s="929" t="s">
        <v>622</v>
      </c>
      <c r="C167" s="929" t="s">
        <v>958</v>
      </c>
      <c r="D167" s="899" t="str">
        <f t="shared" si="2"/>
        <v>Elektrospeicher-Zentralheizung</v>
      </c>
      <c r="E167" s="402" t="s">
        <v>186</v>
      </c>
      <c r="F167" s="2338" t="s">
        <v>1574</v>
      </c>
      <c r="G167" s="403" t="s">
        <v>1365</v>
      </c>
    </row>
    <row r="168" spans="1:7" ht="26.1" customHeight="1">
      <c r="A168" s="401">
        <v>165</v>
      </c>
      <c r="B168" s="929" t="s">
        <v>622</v>
      </c>
      <c r="C168" s="929" t="s">
        <v>959</v>
      </c>
      <c r="D168" s="899" t="str">
        <f t="shared" si="2"/>
        <v>Elektro direkt</v>
      </c>
      <c r="E168" s="402" t="s">
        <v>45</v>
      </c>
      <c r="F168" s="2338" t="s">
        <v>1575</v>
      </c>
      <c r="G168" s="403" t="s">
        <v>1366</v>
      </c>
    </row>
    <row r="169" spans="1:7" ht="26.1" customHeight="1">
      <c r="A169" s="401">
        <v>166</v>
      </c>
      <c r="B169" s="929" t="s">
        <v>622</v>
      </c>
      <c r="C169" s="929" t="s">
        <v>960</v>
      </c>
      <c r="D169" s="899" t="str">
        <f t="shared" si="2"/>
        <v>Elektro-Wassererwärmer</v>
      </c>
      <c r="E169" s="402" t="s">
        <v>145</v>
      </c>
      <c r="F169" s="2338" t="s">
        <v>1576</v>
      </c>
      <c r="G169" s="403" t="s">
        <v>1367</v>
      </c>
    </row>
    <row r="170" spans="1:7" ht="26.1" customHeight="1">
      <c r="A170" s="401">
        <v>167</v>
      </c>
      <c r="B170" s="929" t="s">
        <v>622</v>
      </c>
      <c r="C170" s="929" t="s">
        <v>961</v>
      </c>
      <c r="D170" s="899" t="str">
        <f t="shared" si="2"/>
        <v>WKK (fossil) - thermischer + elektrischer Anteil</v>
      </c>
      <c r="E170" s="402" t="s">
        <v>707</v>
      </c>
      <c r="F170" s="2338" t="s">
        <v>1577</v>
      </c>
      <c r="G170" s="403" t="s">
        <v>1368</v>
      </c>
    </row>
    <row r="171" spans="1:7" ht="26.1" customHeight="1">
      <c r="A171" s="401">
        <v>168</v>
      </c>
      <c r="B171" s="929" t="s">
        <v>622</v>
      </c>
      <c r="C171" s="929" t="s">
        <v>962</v>
      </c>
      <c r="D171" s="899" t="str">
        <f t="shared" si="2"/>
        <v>WKK (Holz) - thermischer + elektrischer Anteil</v>
      </c>
      <c r="E171" s="402" t="s">
        <v>458</v>
      </c>
      <c r="F171" s="2338" t="s">
        <v>1578</v>
      </c>
      <c r="G171" s="403" t="s">
        <v>1369</v>
      </c>
    </row>
    <row r="172" spans="1:7" ht="25.9" customHeight="1">
      <c r="A172" s="401">
        <v>169</v>
      </c>
      <c r="B172" s="929" t="s">
        <v>622</v>
      </c>
      <c r="C172" s="929" t="s">
        <v>963</v>
      </c>
      <c r="D172" s="899" t="str">
        <f t="shared" si="2"/>
        <v>Wärmepumpe Aussenluft, nur Heizung</v>
      </c>
      <c r="E172" s="402" t="s">
        <v>90</v>
      </c>
      <c r="F172" s="2338" t="s">
        <v>1713</v>
      </c>
      <c r="G172" s="403" t="s">
        <v>2750</v>
      </c>
    </row>
    <row r="173" spans="1:7" ht="25.9" customHeight="1">
      <c r="A173" s="401">
        <v>170</v>
      </c>
      <c r="B173" s="929" t="s">
        <v>622</v>
      </c>
      <c r="C173" s="929" t="s">
        <v>964</v>
      </c>
      <c r="D173" s="899" t="str">
        <f t="shared" si="2"/>
        <v>Wärmepumpe, Aussenluft, nur Warmwasser</v>
      </c>
      <c r="E173" s="402" t="s">
        <v>91</v>
      </c>
      <c r="F173" s="2338" t="s">
        <v>1714</v>
      </c>
      <c r="G173" s="403" t="s">
        <v>2751</v>
      </c>
    </row>
    <row r="174" spans="1:7" ht="25.9" customHeight="1">
      <c r="A174" s="401">
        <v>171</v>
      </c>
      <c r="B174" s="929" t="s">
        <v>622</v>
      </c>
      <c r="C174" s="929" t="s">
        <v>965</v>
      </c>
      <c r="D174" s="899" t="str">
        <f t="shared" si="2"/>
        <v>Wärmepumpe, Erdwärmesonde, nur Heizung</v>
      </c>
      <c r="E174" s="402" t="s">
        <v>92</v>
      </c>
      <c r="F174" s="2338" t="s">
        <v>1579</v>
      </c>
      <c r="G174" s="403" t="s">
        <v>1370</v>
      </c>
    </row>
    <row r="175" spans="1:7" ht="26.1" customHeight="1">
      <c r="A175" s="401">
        <v>172</v>
      </c>
      <c r="B175" s="929" t="s">
        <v>622</v>
      </c>
      <c r="C175" s="929" t="s">
        <v>966</v>
      </c>
      <c r="D175" s="899" t="str">
        <f t="shared" si="2"/>
        <v>Wärmepumpe, Erdwärmesonde, nur Warmwasser</v>
      </c>
      <c r="E175" s="402" t="s">
        <v>93</v>
      </c>
      <c r="F175" s="2338" t="s">
        <v>1580</v>
      </c>
      <c r="G175" s="403" t="s">
        <v>1371</v>
      </c>
    </row>
    <row r="176" spans="1:7" ht="26.1" customHeight="1">
      <c r="A176" s="401">
        <v>173</v>
      </c>
      <c r="B176" s="929" t="s">
        <v>622</v>
      </c>
      <c r="C176" s="929" t="s">
        <v>967</v>
      </c>
      <c r="D176" s="899" t="str">
        <f t="shared" si="2"/>
        <v>Wärmepumpe, Abwasser, nur Heizung</v>
      </c>
      <c r="E176" s="402" t="s">
        <v>455</v>
      </c>
      <c r="F176" s="2338" t="s">
        <v>1581</v>
      </c>
      <c r="G176" s="403" t="s">
        <v>1372</v>
      </c>
    </row>
    <row r="177" spans="1:7" ht="26.1" customHeight="1">
      <c r="A177" s="401">
        <v>174</v>
      </c>
      <c r="B177" s="929" t="s">
        <v>622</v>
      </c>
      <c r="C177" s="929" t="s">
        <v>968</v>
      </c>
      <c r="D177" s="899" t="str">
        <f t="shared" si="2"/>
        <v>Wärmepumpe, Abwasser, nur Warmwasser</v>
      </c>
      <c r="E177" s="402" t="s">
        <v>456</v>
      </c>
      <c r="F177" s="2338" t="s">
        <v>1582</v>
      </c>
      <c r="G177" s="403" t="s">
        <v>1373</v>
      </c>
    </row>
    <row r="178" spans="1:7" ht="26.1" customHeight="1">
      <c r="A178" s="401">
        <v>175</v>
      </c>
      <c r="B178" s="929" t="s">
        <v>622</v>
      </c>
      <c r="C178" s="929" t="s">
        <v>969</v>
      </c>
      <c r="D178" s="899" t="str">
        <f t="shared" si="2"/>
        <v>Wasser-Wärmepumpe, nur Heizung</v>
      </c>
      <c r="E178" s="402" t="s">
        <v>457</v>
      </c>
      <c r="F178" s="2338" t="s">
        <v>1583</v>
      </c>
      <c r="G178" s="403" t="s">
        <v>2752</v>
      </c>
    </row>
    <row r="179" spans="1:7" ht="26.1" customHeight="1">
      <c r="A179" s="401">
        <v>176</v>
      </c>
      <c r="B179" s="929" t="s">
        <v>622</v>
      </c>
      <c r="C179" s="929" t="s">
        <v>970</v>
      </c>
      <c r="D179" s="899" t="str">
        <f t="shared" si="2"/>
        <v>Wasser-Wärmepumpe, nur Warmwasser</v>
      </c>
      <c r="E179" s="402" t="s">
        <v>218</v>
      </c>
      <c r="F179" s="2338" t="s">
        <v>1584</v>
      </c>
      <c r="G179" s="403" t="s">
        <v>2753</v>
      </c>
    </row>
    <row r="180" spans="1:7" ht="26.1" customHeight="1">
      <c r="A180" s="401">
        <v>177</v>
      </c>
      <c r="B180" s="929" t="s">
        <v>622</v>
      </c>
      <c r="C180" s="929" t="s">
        <v>971</v>
      </c>
      <c r="D180" s="899" t="str">
        <f t="shared" si="2"/>
        <v>Wärmepumpe, Grundwasser, direkt, nur Heizung</v>
      </c>
      <c r="E180" s="402" t="s">
        <v>219</v>
      </c>
      <c r="F180" s="2338" t="s">
        <v>1585</v>
      </c>
      <c r="G180" s="403" t="s">
        <v>1374</v>
      </c>
    </row>
    <row r="181" spans="1:7" ht="26.1" customHeight="1">
      <c r="A181" s="401">
        <v>178</v>
      </c>
      <c r="B181" s="929" t="s">
        <v>622</v>
      </c>
      <c r="C181" s="929" t="s">
        <v>972</v>
      </c>
      <c r="D181" s="899" t="str">
        <f t="shared" si="2"/>
        <v>Wärmepumpe, Grundwasser, direkt, nur Warmwasser</v>
      </c>
      <c r="E181" s="402" t="s">
        <v>220</v>
      </c>
      <c r="F181" s="2338" t="s">
        <v>1586</v>
      </c>
      <c r="G181" s="403" t="s">
        <v>1375</v>
      </c>
    </row>
    <row r="182" spans="1:7" ht="26.1" customHeight="1">
      <c r="A182" s="401">
        <v>179</v>
      </c>
      <c r="B182" s="929" t="s">
        <v>622</v>
      </c>
      <c r="C182" s="929" t="s">
        <v>973</v>
      </c>
      <c r="D182" s="899" t="str">
        <f t="shared" si="2"/>
        <v>Wärmepumpe, Grundwasser, indirekt, nur Heizung</v>
      </c>
      <c r="E182" s="402" t="s">
        <v>221</v>
      </c>
      <c r="F182" s="2338" t="s">
        <v>1587</v>
      </c>
      <c r="G182" s="403" t="s">
        <v>1376</v>
      </c>
    </row>
    <row r="183" spans="1:7" ht="26.1" customHeight="1">
      <c r="A183" s="401">
        <v>180</v>
      </c>
      <c r="B183" s="929" t="s">
        <v>622</v>
      </c>
      <c r="C183" s="929" t="s">
        <v>974</v>
      </c>
      <c r="D183" s="899" t="str">
        <f t="shared" si="2"/>
        <v>Wärmepumpe, Grundwasser, indirekt, nur Warmwaser</v>
      </c>
      <c r="E183" s="402" t="s">
        <v>222</v>
      </c>
      <c r="F183" s="2338" t="s">
        <v>1588</v>
      </c>
      <c r="G183" s="403" t="s">
        <v>1377</v>
      </c>
    </row>
    <row r="184" spans="1:7" ht="26.1" customHeight="1">
      <c r="A184" s="401">
        <v>181</v>
      </c>
      <c r="B184" s="929" t="s">
        <v>622</v>
      </c>
      <c r="C184" s="929" t="s">
        <v>975</v>
      </c>
      <c r="D184" s="899" t="str">
        <f t="shared" si="2"/>
        <v>Wärmepumpe Erdregister, nur Heizung</v>
      </c>
      <c r="E184" s="402" t="s">
        <v>223</v>
      </c>
      <c r="F184" s="2338" t="s">
        <v>1589</v>
      </c>
      <c r="G184" s="403" t="s">
        <v>1378</v>
      </c>
    </row>
    <row r="185" spans="1:7" ht="26.1" customHeight="1">
      <c r="A185" s="401">
        <v>182</v>
      </c>
      <c r="B185" s="929" t="s">
        <v>622</v>
      </c>
      <c r="C185" s="929" t="s">
        <v>976</v>
      </c>
      <c r="D185" s="899" t="str">
        <f t="shared" si="2"/>
        <v>Wärmepumpe Erdregister, nur Warmwasser</v>
      </c>
      <c r="E185" s="402" t="s">
        <v>224</v>
      </c>
      <c r="F185" s="2338" t="s">
        <v>1590</v>
      </c>
      <c r="G185" s="403" t="s">
        <v>1379</v>
      </c>
    </row>
    <row r="186" spans="1:7" ht="26.1" customHeight="1">
      <c r="A186" s="401">
        <v>183</v>
      </c>
      <c r="B186" s="929" t="s">
        <v>622</v>
      </c>
      <c r="C186" s="929" t="s">
        <v>977</v>
      </c>
      <c r="D186" s="899" t="str">
        <f t="shared" si="2"/>
        <v>Solarenergie thermisch, nur Heizung</v>
      </c>
      <c r="E186" s="402" t="s">
        <v>225</v>
      </c>
      <c r="F186" s="2338" t="s">
        <v>1591</v>
      </c>
      <c r="G186" s="403" t="s">
        <v>1380</v>
      </c>
    </row>
    <row r="187" spans="1:7" ht="26.1" customHeight="1">
      <c r="A187" s="401">
        <v>184</v>
      </c>
      <c r="B187" s="929" t="s">
        <v>622</v>
      </c>
      <c r="C187" s="929" t="s">
        <v>978</v>
      </c>
      <c r="D187" s="899" t="str">
        <f t="shared" si="2"/>
        <v>Solarenergie thermisch, nur Warmwasser</v>
      </c>
      <c r="E187" s="402" t="s">
        <v>226</v>
      </c>
      <c r="F187" s="2338" t="s">
        <v>1592</v>
      </c>
      <c r="G187" s="403" t="s">
        <v>1381</v>
      </c>
    </row>
    <row r="188" spans="1:7" ht="26.1" customHeight="1">
      <c r="A188" s="401">
        <v>185</v>
      </c>
      <c r="B188" s="929" t="s">
        <v>622</v>
      </c>
      <c r="C188" s="929" t="s">
        <v>979</v>
      </c>
      <c r="D188" s="899" t="str">
        <f t="shared" si="2"/>
        <v>Solarenergie thermisch, Heizung + WW</v>
      </c>
      <c r="E188" s="402" t="s">
        <v>147</v>
      </c>
      <c r="F188" s="2338" t="s">
        <v>1593</v>
      </c>
      <c r="G188" s="403" t="s">
        <v>1382</v>
      </c>
    </row>
    <row r="189" spans="1:7" ht="26.1" customHeight="1">
      <c r="A189" s="401">
        <v>186</v>
      </c>
      <c r="B189" s="929" t="s">
        <v>622</v>
      </c>
      <c r="C189" s="929" t="s">
        <v>980</v>
      </c>
      <c r="D189" s="899" t="str">
        <f t="shared" si="2"/>
        <v>Photovoltaik</v>
      </c>
      <c r="E189" s="402" t="s">
        <v>319</v>
      </c>
      <c r="F189" s="2338" t="s">
        <v>1594</v>
      </c>
      <c r="G189" s="403" t="s">
        <v>1383</v>
      </c>
    </row>
    <row r="190" spans="1:7" ht="26.1" customHeight="1">
      <c r="A190" s="401">
        <v>187</v>
      </c>
      <c r="B190" s="929" t="s">
        <v>622</v>
      </c>
      <c r="C190" s="929" t="s">
        <v>981</v>
      </c>
      <c r="D190" s="899" t="str">
        <f t="shared" si="2"/>
        <v>Abwärme aus Klimakälte</v>
      </c>
      <c r="E190" s="402" t="s">
        <v>3580</v>
      </c>
      <c r="F190" s="2338" t="s">
        <v>3587</v>
      </c>
      <c r="G190" s="403" t="s">
        <v>3588</v>
      </c>
    </row>
    <row r="191" spans="1:7" ht="26.1" customHeight="1">
      <c r="A191" s="401">
        <v>188</v>
      </c>
      <c r="B191" s="929" t="s">
        <v>622</v>
      </c>
      <c r="C191" s="929" t="s">
        <v>982</v>
      </c>
      <c r="D191" s="899" t="str">
        <f t="shared" si="2"/>
        <v>Abwärme aus Gewerbekälte oder EDV</v>
      </c>
      <c r="E191" s="402" t="s">
        <v>3581</v>
      </c>
      <c r="F191" s="2338" t="s">
        <v>2266</v>
      </c>
      <c r="G191" s="403" t="s">
        <v>2355</v>
      </c>
    </row>
    <row r="192" spans="1:7" ht="26.1" customHeight="1">
      <c r="A192" s="401">
        <v>189</v>
      </c>
      <c r="B192" s="929" t="s">
        <v>622</v>
      </c>
      <c r="C192" s="929" t="s">
        <v>983</v>
      </c>
      <c r="D192" s="899" t="str">
        <f t="shared" si="2"/>
        <v>Lüftungsgerät mit Abluft / Zuluft - Wärmepumpe plus WRG</v>
      </c>
      <c r="E192" s="402" t="s">
        <v>373</v>
      </c>
      <c r="F192" s="2338" t="s">
        <v>578</v>
      </c>
      <c r="G192" s="403" t="s">
        <v>1386</v>
      </c>
    </row>
    <row r="193" spans="1:7" ht="26.1" customHeight="1">
      <c r="A193" s="401">
        <v>190</v>
      </c>
      <c r="B193" s="929" t="s">
        <v>622</v>
      </c>
      <c r="C193" s="929" t="s">
        <v>984</v>
      </c>
      <c r="D193" s="910" t="str">
        <f t="shared" si="2"/>
        <v>Lüftungsgerät mit Abluft / Zuluft - Wärmepumpe ohne WRG</v>
      </c>
      <c r="E193" s="402" t="s">
        <v>372</v>
      </c>
      <c r="F193" s="2338" t="s">
        <v>579</v>
      </c>
      <c r="G193" s="403" t="s">
        <v>1387</v>
      </c>
    </row>
    <row r="194" spans="1:7" ht="26.1" customHeight="1">
      <c r="A194" s="924">
        <v>191</v>
      </c>
      <c r="B194" s="929" t="s">
        <v>622</v>
      </c>
      <c r="C194" s="929" t="s">
        <v>985</v>
      </c>
      <c r="D194" s="899" t="str">
        <f t="shared" si="2"/>
        <v>Lüftungsgerät mit Abluft-Wärmepumpe (keine Zuluft)</v>
      </c>
      <c r="E194" s="402" t="s">
        <v>351</v>
      </c>
      <c r="F194" s="2338" t="s">
        <v>580</v>
      </c>
      <c r="G194" s="403" t="s">
        <v>1388</v>
      </c>
    </row>
    <row r="195" spans="1:7" ht="26.1" customHeight="1">
      <c r="A195" s="401">
        <v>192</v>
      </c>
      <c r="B195" s="929" t="s">
        <v>622</v>
      </c>
      <c r="C195" s="929" t="s">
        <v>986</v>
      </c>
      <c r="D195" s="900" t="str">
        <f t="shared" si="2"/>
        <v>Kompakt-WP mit Zu- &amp; Abluft / WW plus WRG</v>
      </c>
      <c r="E195" s="402" t="s">
        <v>358</v>
      </c>
      <c r="F195" s="2338" t="s">
        <v>1597</v>
      </c>
      <c r="G195" s="403" t="s">
        <v>1389</v>
      </c>
    </row>
    <row r="196" spans="1:7" ht="26.1" customHeight="1">
      <c r="A196" s="401">
        <v>193</v>
      </c>
      <c r="B196" s="929" t="s">
        <v>622</v>
      </c>
      <c r="C196" s="929" t="s">
        <v>987</v>
      </c>
      <c r="D196" s="899" t="str">
        <f t="shared" si="2"/>
        <v>Kompakt-WP mit Zu- &amp; Abluft / WW ohne WRG (nur Heizung)</v>
      </c>
      <c r="E196" s="402" t="s">
        <v>370</v>
      </c>
      <c r="F196" s="2338" t="s">
        <v>1598</v>
      </c>
      <c r="G196" s="403" t="s">
        <v>1390</v>
      </c>
    </row>
    <row r="197" spans="1:7" ht="26.1" customHeight="1">
      <c r="A197" s="401">
        <v>194</v>
      </c>
      <c r="B197" s="929" t="s">
        <v>622</v>
      </c>
      <c r="C197" s="929" t="s">
        <v>988</v>
      </c>
      <c r="D197" s="899" t="str">
        <f t="shared" ref="D197:D260" si="3">INDEX($E$4:$G$503,$A197,$A$1)</f>
        <v>Kompakt-WP mit Zu- &amp; Abluft / WW ohne WRG (nur WW)</v>
      </c>
      <c r="E197" s="402" t="s">
        <v>371</v>
      </c>
      <c r="F197" s="2338" t="s">
        <v>1599</v>
      </c>
      <c r="G197" s="403" t="s">
        <v>1391</v>
      </c>
    </row>
    <row r="198" spans="1:7" ht="26.1" customHeight="1">
      <c r="A198" s="401">
        <v>195</v>
      </c>
      <c r="B198" s="929" t="s">
        <v>622</v>
      </c>
      <c r="C198" s="929" t="s">
        <v>989</v>
      </c>
      <c r="D198" s="899" t="str">
        <f t="shared" si="3"/>
        <v>Biomasse, hydraulisch eingebunden</v>
      </c>
      <c r="E198" s="402" t="s">
        <v>498</v>
      </c>
      <c r="F198" s="2338" t="s">
        <v>158</v>
      </c>
      <c r="G198" s="403" t="s">
        <v>1392</v>
      </c>
    </row>
    <row r="199" spans="1:7" ht="26.1" customHeight="1">
      <c r="A199" s="401">
        <v>196</v>
      </c>
      <c r="B199" s="929" t="s">
        <v>622</v>
      </c>
      <c r="C199" s="929" t="s">
        <v>990</v>
      </c>
      <c r="D199" s="899" t="str">
        <f t="shared" si="3"/>
        <v>Fernwärme (inkl. Abwärme aus KVA,ARA), &gt;75% nicht erneuerbar</v>
      </c>
      <c r="E199" s="402" t="s">
        <v>1223</v>
      </c>
      <c r="F199" s="2338" t="s">
        <v>1600</v>
      </c>
      <c r="G199" s="403" t="s">
        <v>1480</v>
      </c>
    </row>
    <row r="200" spans="1:7" ht="26.1" customHeight="1">
      <c r="A200" s="401">
        <v>197</v>
      </c>
      <c r="B200" s="929" t="s">
        <v>622</v>
      </c>
      <c r="C200" s="929" t="s">
        <v>991</v>
      </c>
      <c r="D200" s="899" t="str">
        <f t="shared" si="3"/>
        <v>Fernwärme (inkl. Abwärme aus KVA,ARA), &lt;=75% nicht erneuerbar</v>
      </c>
      <c r="E200" s="402" t="s">
        <v>1222</v>
      </c>
      <c r="F200" s="2338" t="s">
        <v>1601</v>
      </c>
      <c r="G200" s="403" t="s">
        <v>1481</v>
      </c>
    </row>
    <row r="201" spans="1:7" ht="26.1" customHeight="1">
      <c r="A201" s="401">
        <v>198</v>
      </c>
      <c r="B201" s="929" t="s">
        <v>622</v>
      </c>
      <c r="C201" s="929" t="s">
        <v>992</v>
      </c>
      <c r="D201" s="899" t="str">
        <f t="shared" si="3"/>
        <v>Fernwärme (inkl. Abwärme aus KVA,ARA), &lt;=25% nicht erneuerbar</v>
      </c>
      <c r="E201" s="402" t="s">
        <v>1221</v>
      </c>
      <c r="F201" s="2338" t="s">
        <v>1602</v>
      </c>
      <c r="G201" s="403" t="s">
        <v>1482</v>
      </c>
    </row>
    <row r="202" spans="1:7" ht="26.1" customHeight="1">
      <c r="A202" s="401">
        <v>199</v>
      </c>
      <c r="B202" s="929" t="s">
        <v>622</v>
      </c>
      <c r="C202" s="929" t="s">
        <v>993</v>
      </c>
      <c r="D202" s="899" t="str">
        <f t="shared" si="3"/>
        <v>Ölfeuerung</v>
      </c>
      <c r="E202" s="402" t="s">
        <v>203</v>
      </c>
      <c r="F202" s="2338" t="s">
        <v>1564</v>
      </c>
      <c r="G202" s="403" t="s">
        <v>1356</v>
      </c>
    </row>
    <row r="203" spans="1:7" ht="26.1" customHeight="1">
      <c r="A203" s="401">
        <v>200</v>
      </c>
      <c r="B203" s="929" t="s">
        <v>622</v>
      </c>
      <c r="C203" s="929" t="s">
        <v>994</v>
      </c>
      <c r="D203" s="899" t="str">
        <f t="shared" si="3"/>
        <v>Ölheizung kondensierend</v>
      </c>
      <c r="E203" s="402" t="s">
        <v>471</v>
      </c>
      <c r="F203" s="2338" t="s">
        <v>1603</v>
      </c>
      <c r="G203" s="403" t="s">
        <v>1393</v>
      </c>
    </row>
    <row r="204" spans="1:7" ht="26.1" customHeight="1">
      <c r="A204" s="401">
        <v>201</v>
      </c>
      <c r="B204" s="929" t="s">
        <v>622</v>
      </c>
      <c r="C204" s="929" t="s">
        <v>995</v>
      </c>
      <c r="D204" s="899" t="str">
        <f t="shared" si="3"/>
        <v>Ölfeuerung kondens. Warmwasser</v>
      </c>
      <c r="E204" s="402" t="s">
        <v>472</v>
      </c>
      <c r="F204" s="2338" t="s">
        <v>1604</v>
      </c>
      <c r="G204" s="403" t="s">
        <v>1394</v>
      </c>
    </row>
    <row r="205" spans="1:7" ht="26.1" customHeight="1">
      <c r="A205" s="401">
        <v>202</v>
      </c>
      <c r="B205" s="929" t="s">
        <v>622</v>
      </c>
      <c r="C205" s="929" t="s">
        <v>996</v>
      </c>
      <c r="D205" s="899" t="str">
        <f t="shared" si="3"/>
        <v>Gasfeuerung</v>
      </c>
      <c r="E205" s="402" t="s">
        <v>204</v>
      </c>
      <c r="F205" s="2338" t="s">
        <v>1567</v>
      </c>
      <c r="G205" s="403" t="s">
        <v>1359</v>
      </c>
    </row>
    <row r="206" spans="1:7" ht="26.1" customHeight="1">
      <c r="A206" s="401">
        <v>203</v>
      </c>
      <c r="B206" s="929" t="s">
        <v>622</v>
      </c>
      <c r="C206" s="929" t="s">
        <v>997</v>
      </c>
      <c r="D206" s="899" t="str">
        <f t="shared" si="3"/>
        <v>Gasheizung kondensierend</v>
      </c>
      <c r="E206" s="402" t="s">
        <v>473</v>
      </c>
      <c r="F206" s="2338" t="s">
        <v>1605</v>
      </c>
      <c r="G206" s="403" t="s">
        <v>1395</v>
      </c>
    </row>
    <row r="207" spans="1:7" ht="26.1" customHeight="1">
      <c r="A207" s="401">
        <v>204</v>
      </c>
      <c r="B207" s="929" t="s">
        <v>622</v>
      </c>
      <c r="C207" s="929" t="s">
        <v>998</v>
      </c>
      <c r="D207" s="899" t="str">
        <f t="shared" si="3"/>
        <v>Gas kondensierend Warmwasser</v>
      </c>
      <c r="E207" s="402" t="s">
        <v>474</v>
      </c>
      <c r="F207" s="2338" t="s">
        <v>1606</v>
      </c>
      <c r="G207" s="403" t="s">
        <v>1396</v>
      </c>
    </row>
    <row r="208" spans="1:7" ht="26.1" customHeight="1">
      <c r="A208" s="401">
        <v>205</v>
      </c>
      <c r="B208" s="929" t="s">
        <v>622</v>
      </c>
      <c r="C208" s="929" t="s">
        <v>999</v>
      </c>
      <c r="D208" s="899" t="str">
        <f t="shared" si="3"/>
        <v>Gas - Wassererwärmer</v>
      </c>
      <c r="E208" s="402" t="s">
        <v>205</v>
      </c>
      <c r="F208" s="2338" t="s">
        <v>1570</v>
      </c>
      <c r="G208" s="403" t="s">
        <v>1362</v>
      </c>
    </row>
    <row r="209" spans="1:7" ht="26.1" customHeight="1">
      <c r="A209" s="401">
        <v>206</v>
      </c>
      <c r="B209" s="929" t="s">
        <v>622</v>
      </c>
      <c r="C209" s="929" t="s">
        <v>1000</v>
      </c>
      <c r="D209" s="899" t="str">
        <f t="shared" si="3"/>
        <v>Holzfeuerung</v>
      </c>
      <c r="E209" s="402" t="s">
        <v>318</v>
      </c>
      <c r="F209" s="2338" t="s">
        <v>1571</v>
      </c>
      <c r="G209" s="403" t="s">
        <v>1397</v>
      </c>
    </row>
    <row r="210" spans="1:7" ht="26.1" customHeight="1">
      <c r="A210" s="401">
        <v>207</v>
      </c>
      <c r="B210" s="929" t="s">
        <v>622</v>
      </c>
      <c r="C210" s="929" t="s">
        <v>1001</v>
      </c>
      <c r="D210" s="899" t="str">
        <f t="shared" si="3"/>
        <v>Pelletfeuerung</v>
      </c>
      <c r="E210" s="402" t="s">
        <v>22</v>
      </c>
      <c r="F210" s="2338" t="s">
        <v>1572</v>
      </c>
      <c r="G210" s="403" t="s">
        <v>1398</v>
      </c>
    </row>
    <row r="211" spans="1:7" ht="26.1" customHeight="1">
      <c r="A211" s="401">
        <v>208</v>
      </c>
      <c r="B211" s="929" t="s">
        <v>622</v>
      </c>
      <c r="C211" s="929" t="s">
        <v>1002</v>
      </c>
      <c r="D211" s="899" t="str">
        <f t="shared" si="3"/>
        <v>Fernwärme (&lt;=50% nicht erneuerbar)</v>
      </c>
      <c r="E211" s="402" t="s">
        <v>1224</v>
      </c>
      <c r="F211" s="2338" t="s">
        <v>1607</v>
      </c>
      <c r="G211" s="403" t="s">
        <v>1483</v>
      </c>
    </row>
    <row r="212" spans="1:7" ht="26.1" customHeight="1">
      <c r="A212" s="401">
        <v>209</v>
      </c>
      <c r="B212" s="929" t="s">
        <v>622</v>
      </c>
      <c r="C212" s="929" t="s">
        <v>1003</v>
      </c>
      <c r="D212" s="899" t="str">
        <f t="shared" si="3"/>
        <v>Elektrospeicher-Zentralheizung</v>
      </c>
      <c r="E212" s="402" t="s">
        <v>186</v>
      </c>
      <c r="F212" s="2338" t="s">
        <v>1574</v>
      </c>
      <c r="G212" s="403" t="s">
        <v>1365</v>
      </c>
    </row>
    <row r="213" spans="1:7" ht="26.1" customHeight="1">
      <c r="A213" s="401">
        <v>210</v>
      </c>
      <c r="B213" s="929" t="s">
        <v>622</v>
      </c>
      <c r="C213" s="929" t="s">
        <v>1004</v>
      </c>
      <c r="D213" s="899" t="str">
        <f t="shared" si="3"/>
        <v>Elektro direkt</v>
      </c>
      <c r="E213" s="402" t="s">
        <v>45</v>
      </c>
      <c r="F213" s="2338" t="s">
        <v>1575</v>
      </c>
      <c r="G213" s="403" t="s">
        <v>1366</v>
      </c>
    </row>
    <row r="214" spans="1:7" ht="26.1" customHeight="1">
      <c r="A214" s="401">
        <v>211</v>
      </c>
      <c r="B214" s="929" t="s">
        <v>622</v>
      </c>
      <c r="C214" s="929" t="s">
        <v>1005</v>
      </c>
      <c r="D214" s="899" t="str">
        <f t="shared" si="3"/>
        <v>Elektro-Wassererwärmer</v>
      </c>
      <c r="E214" s="402" t="s">
        <v>145</v>
      </c>
      <c r="F214" s="2338" t="s">
        <v>1576</v>
      </c>
      <c r="G214" s="403" t="s">
        <v>1367</v>
      </c>
    </row>
    <row r="215" spans="1:7" ht="26.1" customHeight="1">
      <c r="A215" s="401">
        <v>212</v>
      </c>
      <c r="B215" s="929" t="s">
        <v>622</v>
      </c>
      <c r="C215" s="929" t="s">
        <v>1006</v>
      </c>
      <c r="D215" s="899" t="str">
        <f t="shared" si="3"/>
        <v>WKK - thermischer+elektr. Anteil</v>
      </c>
      <c r="E215" s="402" t="s">
        <v>383</v>
      </c>
      <c r="F215" s="2338" t="s">
        <v>1577</v>
      </c>
      <c r="G215" s="403" t="s">
        <v>1399</v>
      </c>
    </row>
    <row r="216" spans="1:7" ht="26.1" customHeight="1">
      <c r="A216" s="401">
        <v>213</v>
      </c>
      <c r="B216" s="929" t="s">
        <v>622</v>
      </c>
      <c r="C216" s="929" t="s">
        <v>1007</v>
      </c>
      <c r="D216" s="899" t="str">
        <f t="shared" si="3"/>
        <v>WKK Holz - therm.+elektr. Anteil</v>
      </c>
      <c r="E216" s="402" t="s">
        <v>459</v>
      </c>
      <c r="F216" s="2338" t="s">
        <v>1578</v>
      </c>
      <c r="G216" s="403" t="s">
        <v>1400</v>
      </c>
    </row>
    <row r="217" spans="1:7" ht="26.1" customHeight="1">
      <c r="A217" s="401">
        <v>214</v>
      </c>
      <c r="B217" s="929" t="s">
        <v>622</v>
      </c>
      <c r="C217" s="929" t="s">
        <v>1008</v>
      </c>
      <c r="D217" s="899" t="str">
        <f t="shared" si="3"/>
        <v>Luft-Wärmepumpe, Heizung</v>
      </c>
      <c r="E217" s="402" t="s">
        <v>475</v>
      </c>
      <c r="F217" s="2338" t="s">
        <v>1608</v>
      </c>
      <c r="G217" s="403" t="s">
        <v>1401</v>
      </c>
    </row>
    <row r="218" spans="1:7" ht="26.1" customHeight="1">
      <c r="A218" s="401">
        <v>215</v>
      </c>
      <c r="B218" s="929" t="s">
        <v>622</v>
      </c>
      <c r="C218" s="929" t="s">
        <v>1009</v>
      </c>
      <c r="D218" s="899" t="str">
        <f t="shared" si="3"/>
        <v>Luft-Wärmepumpe, Warmwasser</v>
      </c>
      <c r="E218" s="402" t="s">
        <v>476</v>
      </c>
      <c r="F218" s="2338" t="s">
        <v>1609</v>
      </c>
      <c r="G218" s="403" t="s">
        <v>1402</v>
      </c>
    </row>
    <row r="219" spans="1:7" ht="26.1" customHeight="1">
      <c r="A219" s="401">
        <v>216</v>
      </c>
      <c r="B219" s="929" t="s">
        <v>622</v>
      </c>
      <c r="C219" s="929" t="s">
        <v>1010</v>
      </c>
      <c r="D219" s="899" t="str">
        <f t="shared" si="3"/>
        <v>Erdsonden-WP, Heizung</v>
      </c>
      <c r="E219" s="402" t="s">
        <v>148</v>
      </c>
      <c r="F219" s="2338" t="s">
        <v>1610</v>
      </c>
      <c r="G219" s="403" t="s">
        <v>1403</v>
      </c>
    </row>
    <row r="220" spans="1:7" ht="26.1" customHeight="1">
      <c r="A220" s="401">
        <v>217</v>
      </c>
      <c r="B220" s="929" t="s">
        <v>622</v>
      </c>
      <c r="C220" s="929" t="s">
        <v>1011</v>
      </c>
      <c r="D220" s="899" t="str">
        <f t="shared" si="3"/>
        <v>Erdsonden-WP, Warmwasser</v>
      </c>
      <c r="E220" s="402" t="s">
        <v>149</v>
      </c>
      <c r="F220" s="2338" t="s">
        <v>1611</v>
      </c>
      <c r="G220" s="403" t="s">
        <v>1404</v>
      </c>
    </row>
    <row r="221" spans="1:7" ht="26.1" customHeight="1">
      <c r="A221" s="401">
        <v>218</v>
      </c>
      <c r="B221" s="929" t="s">
        <v>622</v>
      </c>
      <c r="C221" s="929" t="s">
        <v>1012</v>
      </c>
      <c r="D221" s="899" t="str">
        <f t="shared" si="3"/>
        <v>Abwasser-WP (direkt), Heizung</v>
      </c>
      <c r="E221" s="402" t="s">
        <v>150</v>
      </c>
      <c r="F221" s="2338" t="s">
        <v>1612</v>
      </c>
      <c r="G221" s="403" t="s">
        <v>1405</v>
      </c>
    </row>
    <row r="222" spans="1:7" ht="26.1" customHeight="1">
      <c r="A222" s="401">
        <v>219</v>
      </c>
      <c r="B222" s="929" t="s">
        <v>622</v>
      </c>
      <c r="C222" s="929" t="s">
        <v>1013</v>
      </c>
      <c r="D222" s="899" t="str">
        <f t="shared" si="3"/>
        <v>Abwasser-WP direkt, Warmwasser</v>
      </c>
      <c r="E222" s="402" t="s">
        <v>151</v>
      </c>
      <c r="F222" s="2338" t="s">
        <v>1613</v>
      </c>
      <c r="G222" s="403" t="s">
        <v>1406</v>
      </c>
    </row>
    <row r="223" spans="1:7" ht="26.1" customHeight="1">
      <c r="A223" s="401">
        <v>220</v>
      </c>
      <c r="B223" s="929" t="s">
        <v>622</v>
      </c>
      <c r="C223" s="929" t="s">
        <v>1014</v>
      </c>
      <c r="D223" s="899" t="str">
        <f t="shared" si="3"/>
        <v>Wasser-Wärmepumpe, Heizung</v>
      </c>
      <c r="E223" s="402" t="s">
        <v>146</v>
      </c>
      <c r="F223" s="2338" t="s">
        <v>1614</v>
      </c>
      <c r="G223" s="403" t="s">
        <v>1407</v>
      </c>
    </row>
    <row r="224" spans="1:7" ht="26.1" customHeight="1">
      <c r="A224" s="401">
        <v>221</v>
      </c>
      <c r="B224" s="929" t="s">
        <v>622</v>
      </c>
      <c r="C224" s="929" t="s">
        <v>1015</v>
      </c>
      <c r="D224" s="899" t="str">
        <f t="shared" si="3"/>
        <v>Wasser-WP, Warmwasser</v>
      </c>
      <c r="E224" s="402" t="s">
        <v>152</v>
      </c>
      <c r="F224" s="2338" t="s">
        <v>1615</v>
      </c>
      <c r="G224" s="403" t="s">
        <v>1408</v>
      </c>
    </row>
    <row r="225" spans="1:7" ht="26.1" customHeight="1">
      <c r="A225" s="401">
        <v>222</v>
      </c>
      <c r="B225" s="929" t="s">
        <v>622</v>
      </c>
      <c r="C225" s="929" t="s">
        <v>1016</v>
      </c>
      <c r="D225" s="899" t="str">
        <f t="shared" si="3"/>
        <v>Grundwasser-WP direkt, Heizung</v>
      </c>
      <c r="E225" s="402" t="s">
        <v>520</v>
      </c>
      <c r="F225" s="2338" t="s">
        <v>1616</v>
      </c>
      <c r="G225" s="403" t="s">
        <v>1409</v>
      </c>
    </row>
    <row r="226" spans="1:7" ht="26.1" customHeight="1">
      <c r="A226" s="401">
        <v>223</v>
      </c>
      <c r="B226" s="929" t="s">
        <v>622</v>
      </c>
      <c r="C226" s="929" t="s">
        <v>1017</v>
      </c>
      <c r="D226" s="899" t="str">
        <f t="shared" si="3"/>
        <v>Grundwasser-WP dir. Warmwasser</v>
      </c>
      <c r="E226" s="402" t="s">
        <v>521</v>
      </c>
      <c r="F226" s="2338" t="s">
        <v>1617</v>
      </c>
      <c r="G226" s="403" t="s">
        <v>1410</v>
      </c>
    </row>
    <row r="227" spans="1:7" ht="26.1" customHeight="1">
      <c r="A227" s="401">
        <v>224</v>
      </c>
      <c r="B227" s="929" t="s">
        <v>622</v>
      </c>
      <c r="C227" s="929" t="s">
        <v>1018</v>
      </c>
      <c r="D227" s="899" t="str">
        <f t="shared" si="3"/>
        <v>Grundwasser-WP, indir, Heizung</v>
      </c>
      <c r="E227" s="402" t="s">
        <v>261</v>
      </c>
      <c r="F227" s="2338" t="s">
        <v>1618</v>
      </c>
      <c r="G227" s="403" t="s">
        <v>1411</v>
      </c>
    </row>
    <row r="228" spans="1:7" ht="26.1" customHeight="1">
      <c r="A228" s="401">
        <v>225</v>
      </c>
      <c r="B228" s="929" t="s">
        <v>622</v>
      </c>
      <c r="C228" s="929" t="s">
        <v>1019</v>
      </c>
      <c r="D228" s="899" t="str">
        <f t="shared" si="3"/>
        <v>Grundwasser-WP, indir, Warmw.</v>
      </c>
      <c r="E228" s="402" t="s">
        <v>437</v>
      </c>
      <c r="F228" s="2338" t="s">
        <v>1619</v>
      </c>
      <c r="G228" s="403" t="s">
        <v>1412</v>
      </c>
    </row>
    <row r="229" spans="1:7" ht="26.1" customHeight="1">
      <c r="A229" s="401">
        <v>226</v>
      </c>
      <c r="B229" s="929" t="s">
        <v>622</v>
      </c>
      <c r="C229" s="929" t="s">
        <v>1020</v>
      </c>
      <c r="D229" s="899" t="str">
        <f t="shared" si="3"/>
        <v>Erdregister-WP, Heizung</v>
      </c>
      <c r="E229" s="402" t="s">
        <v>259</v>
      </c>
      <c r="F229" s="2338" t="s">
        <v>1620</v>
      </c>
      <c r="G229" s="403" t="s">
        <v>1413</v>
      </c>
    </row>
    <row r="230" spans="1:7" ht="25.9" customHeight="1">
      <c r="A230" s="401">
        <v>227</v>
      </c>
      <c r="B230" s="929" t="s">
        <v>622</v>
      </c>
      <c r="C230" s="929" t="s">
        <v>1021</v>
      </c>
      <c r="D230" s="899" t="str">
        <f t="shared" si="3"/>
        <v>Erdregister-WP, Warmwasser</v>
      </c>
      <c r="E230" s="402" t="s">
        <v>260</v>
      </c>
      <c r="F230" s="2338" t="s">
        <v>1621</v>
      </c>
      <c r="G230" s="403" t="s">
        <v>1414</v>
      </c>
    </row>
    <row r="231" spans="1:7" ht="25.9" customHeight="1">
      <c r="A231" s="401">
        <v>228</v>
      </c>
      <c r="B231" s="929" t="s">
        <v>622</v>
      </c>
      <c r="C231" s="929" t="s">
        <v>1022</v>
      </c>
      <c r="D231" s="899" t="str">
        <f t="shared" si="3"/>
        <v>Solarenergie thermisch, Heizung</v>
      </c>
      <c r="E231" s="402" t="s">
        <v>322</v>
      </c>
      <c r="F231" s="2338" t="s">
        <v>1622</v>
      </c>
      <c r="G231" s="403" t="s">
        <v>1415</v>
      </c>
    </row>
    <row r="232" spans="1:7" ht="25.9" customHeight="1">
      <c r="A232" s="401">
        <v>229</v>
      </c>
      <c r="B232" s="929" t="s">
        <v>622</v>
      </c>
      <c r="C232" s="929" t="s">
        <v>1023</v>
      </c>
      <c r="D232" s="899" t="str">
        <f t="shared" si="3"/>
        <v>Solarenergie therm. Warmwasser</v>
      </c>
      <c r="E232" s="402" t="s">
        <v>522</v>
      </c>
      <c r="F232" s="2338" t="s">
        <v>1623</v>
      </c>
      <c r="G232" s="403" t="s">
        <v>1416</v>
      </c>
    </row>
    <row r="233" spans="1:7" ht="25.9" customHeight="1">
      <c r="A233" s="401">
        <v>230</v>
      </c>
      <c r="B233" s="929" t="s">
        <v>622</v>
      </c>
      <c r="C233" s="929" t="s">
        <v>1024</v>
      </c>
      <c r="D233" s="899" t="str">
        <f t="shared" si="3"/>
        <v>Solarenergie Heizung + WW</v>
      </c>
      <c r="E233" s="402" t="s">
        <v>523</v>
      </c>
      <c r="F233" s="2338" t="s">
        <v>1593</v>
      </c>
      <c r="G233" s="403" t="s">
        <v>1417</v>
      </c>
    </row>
    <row r="234" spans="1:7" ht="25.9" customHeight="1">
      <c r="A234" s="401">
        <v>231</v>
      </c>
      <c r="B234" s="929" t="s">
        <v>622</v>
      </c>
      <c r="C234" s="929" t="s">
        <v>1025</v>
      </c>
      <c r="D234" s="899" t="str">
        <f t="shared" si="3"/>
        <v>Photovoltaik</v>
      </c>
      <c r="E234" s="402" t="s">
        <v>319</v>
      </c>
      <c r="F234" s="2338" t="s">
        <v>1594</v>
      </c>
      <c r="G234" s="403" t="s">
        <v>1383</v>
      </c>
    </row>
    <row r="235" spans="1:7" ht="25.9" customHeight="1">
      <c r="A235" s="401">
        <v>232</v>
      </c>
      <c r="B235" s="929" t="s">
        <v>622</v>
      </c>
      <c r="C235" s="929" t="s">
        <v>1026</v>
      </c>
      <c r="D235" s="899" t="str">
        <f t="shared" si="3"/>
        <v>Andere</v>
      </c>
      <c r="E235" s="402" t="s">
        <v>320</v>
      </c>
      <c r="F235" s="2338" t="s">
        <v>1595</v>
      </c>
      <c r="G235" s="403" t="s">
        <v>1384</v>
      </c>
    </row>
    <row r="236" spans="1:7" ht="25.9" customHeight="1">
      <c r="A236" s="401">
        <v>233</v>
      </c>
      <c r="B236" s="929" t="s">
        <v>622</v>
      </c>
      <c r="C236" s="929" t="s">
        <v>1027</v>
      </c>
      <c r="D236" s="899" t="str">
        <f t="shared" si="3"/>
        <v>Übertrag</v>
      </c>
      <c r="E236" s="402" t="s">
        <v>685</v>
      </c>
      <c r="F236" s="2338" t="s">
        <v>1596</v>
      </c>
      <c r="G236" s="403" t="s">
        <v>1385</v>
      </c>
    </row>
    <row r="237" spans="1:7" ht="25.9" customHeight="1">
      <c r="A237" s="401">
        <v>234</v>
      </c>
      <c r="B237" s="929" t="s">
        <v>622</v>
      </c>
      <c r="C237" s="929" t="s">
        <v>1028</v>
      </c>
      <c r="D237" s="899" t="str">
        <f t="shared" si="3"/>
        <v>Ab- / Zuluft-WP + WRG</v>
      </c>
      <c r="E237" s="402" t="s">
        <v>374</v>
      </c>
      <c r="F237" s="2338" t="s">
        <v>585</v>
      </c>
      <c r="G237" s="403" t="s">
        <v>1386</v>
      </c>
    </row>
    <row r="238" spans="1:7" ht="25.9" customHeight="1">
      <c r="A238" s="401">
        <v>235</v>
      </c>
      <c r="B238" s="929" t="s">
        <v>622</v>
      </c>
      <c r="C238" s="929" t="s">
        <v>1029</v>
      </c>
      <c r="D238" s="899" t="str">
        <f t="shared" si="3"/>
        <v>Ab- / Zuluft-WP ohne WRG</v>
      </c>
      <c r="E238" s="402" t="s">
        <v>375</v>
      </c>
      <c r="F238" s="2338" t="s">
        <v>586</v>
      </c>
      <c r="G238" s="403" t="s">
        <v>1387</v>
      </c>
    </row>
    <row r="239" spans="1:7" ht="25.9" customHeight="1">
      <c r="A239" s="401">
        <v>236</v>
      </c>
      <c r="B239" s="929" t="s">
        <v>622</v>
      </c>
      <c r="C239" s="929" t="s">
        <v>1030</v>
      </c>
      <c r="D239" s="899" t="str">
        <f t="shared" si="3"/>
        <v>Abluft-Wärmepumpe ohne ZUL</v>
      </c>
      <c r="E239" s="402" t="s">
        <v>39</v>
      </c>
      <c r="F239" s="2338" t="s">
        <v>587</v>
      </c>
      <c r="G239" s="403" t="s">
        <v>1418</v>
      </c>
    </row>
    <row r="240" spans="1:7" ht="25.9" customHeight="1">
      <c r="A240" s="401">
        <v>237</v>
      </c>
      <c r="B240" s="929" t="s">
        <v>622</v>
      </c>
      <c r="C240" s="929" t="s">
        <v>1031</v>
      </c>
      <c r="D240" s="899" t="str">
        <f t="shared" si="3"/>
        <v>Kompakt-WP + WRG</v>
      </c>
      <c r="E240" s="402" t="s">
        <v>376</v>
      </c>
      <c r="F240" s="2338" t="s">
        <v>588</v>
      </c>
      <c r="G240" s="403" t="s">
        <v>1419</v>
      </c>
    </row>
    <row r="241" spans="1:7" ht="25.9" customHeight="1">
      <c r="A241" s="401">
        <v>238</v>
      </c>
      <c r="B241" s="929" t="s">
        <v>622</v>
      </c>
      <c r="C241" s="929" t="s">
        <v>1032</v>
      </c>
      <c r="D241" s="899" t="str">
        <f t="shared" si="3"/>
        <v>Kompakt-WP ohne WRG, Heizteil</v>
      </c>
      <c r="E241" s="402" t="s">
        <v>377</v>
      </c>
      <c r="F241" s="2338" t="s">
        <v>589</v>
      </c>
      <c r="G241" s="403" t="s">
        <v>1420</v>
      </c>
    </row>
    <row r="242" spans="1:7" ht="25.9" customHeight="1">
      <c r="A242" s="401">
        <v>239</v>
      </c>
      <c r="B242" s="929" t="s">
        <v>622</v>
      </c>
      <c r="C242" s="929" t="s">
        <v>1033</v>
      </c>
      <c r="D242" s="899" t="str">
        <f t="shared" si="3"/>
        <v>Kompakt-WP ohne WRG, WW</v>
      </c>
      <c r="E242" s="402" t="s">
        <v>357</v>
      </c>
      <c r="F242" s="2338" t="s">
        <v>1624</v>
      </c>
      <c r="G242" s="403" t="s">
        <v>1421</v>
      </c>
    </row>
    <row r="243" spans="1:7" ht="26.1" customHeight="1">
      <c r="A243" s="401">
        <v>240</v>
      </c>
      <c r="B243" s="929" t="s">
        <v>622</v>
      </c>
      <c r="C243" s="929" t="s">
        <v>1034</v>
      </c>
      <c r="D243" s="899" t="str">
        <f t="shared" si="3"/>
        <v>Biomasse, eingebunden</v>
      </c>
      <c r="E243" s="402" t="s">
        <v>497</v>
      </c>
      <c r="F243" s="2338" t="s">
        <v>157</v>
      </c>
      <c r="G243" s="403" t="s">
        <v>1422</v>
      </c>
    </row>
    <row r="244" spans="1:7" ht="25.9" customHeight="1">
      <c r="A244" s="401">
        <v>241</v>
      </c>
      <c r="B244" s="929" t="s">
        <v>622</v>
      </c>
      <c r="C244" s="929" t="s">
        <v>1035</v>
      </c>
      <c r="D244" s="899" t="str">
        <f t="shared" si="3"/>
        <v>Fernwärme (&gt;75% nicht erneuerbar)</v>
      </c>
      <c r="E244" s="402" t="s">
        <v>1218</v>
      </c>
      <c r="F244" s="2338" t="s">
        <v>1625</v>
      </c>
      <c r="G244" s="403" t="s">
        <v>1484</v>
      </c>
    </row>
    <row r="245" spans="1:7" ht="25.9" customHeight="1">
      <c r="A245" s="401">
        <v>242</v>
      </c>
      <c r="B245" s="929" t="s">
        <v>622</v>
      </c>
      <c r="C245" s="929" t="s">
        <v>1036</v>
      </c>
      <c r="D245" s="899" t="str">
        <f t="shared" si="3"/>
        <v>Fernwärme (&lt;=75% nicht erneuerbar)</v>
      </c>
      <c r="E245" s="402" t="s">
        <v>1220</v>
      </c>
      <c r="F245" s="2338" t="s">
        <v>1626</v>
      </c>
      <c r="G245" s="403" t="s">
        <v>1485</v>
      </c>
    </row>
    <row r="246" spans="1:7" ht="25.9" customHeight="1">
      <c r="A246" s="401">
        <v>243</v>
      </c>
      <c r="B246" s="929" t="s">
        <v>622</v>
      </c>
      <c r="C246" s="929" t="s">
        <v>1037</v>
      </c>
      <c r="D246" s="899" t="str">
        <f t="shared" si="3"/>
        <v>Fernwärme (&lt;=25% nicht erneuerbar)</v>
      </c>
      <c r="E246" s="402" t="s">
        <v>1219</v>
      </c>
      <c r="F246" s="2338" t="s">
        <v>1627</v>
      </c>
      <c r="G246" s="403" t="s">
        <v>1486</v>
      </c>
    </row>
    <row r="247" spans="1:7" ht="25.9" customHeight="1">
      <c r="A247" s="401">
        <v>244</v>
      </c>
      <c r="B247" s="929" t="s">
        <v>622</v>
      </c>
      <c r="C247" s="929" t="s">
        <v>1228</v>
      </c>
      <c r="D247" s="899" t="str">
        <f t="shared" si="3"/>
        <v>Strom für Wärmepumpen ist doppelt zu gewichten</v>
      </c>
      <c r="E247" s="402" t="s">
        <v>1229</v>
      </c>
      <c r="F247" s="2338" t="s">
        <v>1679</v>
      </c>
      <c r="G247" s="403" t="s">
        <v>1487</v>
      </c>
    </row>
    <row r="248" spans="1:7" ht="25.9" customHeight="1">
      <c r="A248" s="401">
        <v>245</v>
      </c>
      <c r="B248" s="929" t="s">
        <v>313</v>
      </c>
      <c r="C248" s="929" t="s">
        <v>3932</v>
      </c>
      <c r="D248" s="899" t="str">
        <f t="shared" si="3"/>
        <v>Gewichtung</v>
      </c>
      <c r="E248" s="402" t="s">
        <v>236</v>
      </c>
      <c r="F248" s="2338" t="s">
        <v>1657</v>
      </c>
      <c r="G248" s="403" t="s">
        <v>3455</v>
      </c>
    </row>
    <row r="249" spans="1:7" ht="25.9" customHeight="1">
      <c r="A249" s="401">
        <v>246</v>
      </c>
      <c r="B249" s="929" t="s">
        <v>622</v>
      </c>
      <c r="C249" s="929" t="s">
        <v>1039</v>
      </c>
      <c r="D249" s="899" t="str">
        <f t="shared" si="3"/>
        <v>Nutzungsgrad elektrisch (Berechnung beilegen)</v>
      </c>
      <c r="E249" s="402" t="s">
        <v>750</v>
      </c>
      <c r="F249" s="2338" t="s">
        <v>1628</v>
      </c>
      <c r="G249" s="403" t="s">
        <v>1423</v>
      </c>
    </row>
    <row r="250" spans="1:7" ht="25.9" customHeight="1">
      <c r="A250" s="401">
        <v>247</v>
      </c>
      <c r="B250" s="929" t="s">
        <v>622</v>
      </c>
      <c r="C250" s="929" t="s">
        <v>1040</v>
      </c>
      <c r="D250" s="899" t="str">
        <f t="shared" si="3"/>
        <v>Absorberfläche [m2]</v>
      </c>
      <c r="E250" s="402" t="s">
        <v>751</v>
      </c>
      <c r="F250" s="2338" t="s">
        <v>1629</v>
      </c>
      <c r="G250" s="403" t="s">
        <v>1424</v>
      </c>
    </row>
    <row r="251" spans="1:7" ht="25.9" customHeight="1">
      <c r="A251" s="401">
        <v>248</v>
      </c>
      <c r="B251" s="929" t="s">
        <v>622</v>
      </c>
      <c r="C251" s="929" t="s">
        <v>1041</v>
      </c>
      <c r="D251" s="899" t="str">
        <f t="shared" si="3"/>
        <v>Nennleistung [kWp]</v>
      </c>
      <c r="E251" s="402" t="s">
        <v>753</v>
      </c>
      <c r="F251" s="2338" t="s">
        <v>1630</v>
      </c>
      <c r="G251" s="403" t="s">
        <v>1425</v>
      </c>
    </row>
    <row r="252" spans="1:7" ht="25.9" customHeight="1">
      <c r="A252" s="401">
        <v>249</v>
      </c>
      <c r="B252" s="929" t="s">
        <v>622</v>
      </c>
      <c r="C252" s="929" t="s">
        <v>1042</v>
      </c>
      <c r="D252" s="899" t="str">
        <f t="shared" si="3"/>
        <v>Netto-Ertrag pro m2 Absorberfläche  [kWh/m2]</v>
      </c>
      <c r="E252" s="402" t="s">
        <v>752</v>
      </c>
      <c r="F252" s="2338" t="s">
        <v>1631</v>
      </c>
      <c r="G252" s="403" t="s">
        <v>1426</v>
      </c>
    </row>
    <row r="253" spans="1:7" ht="25.9" customHeight="1">
      <c r="A253" s="401">
        <v>250</v>
      </c>
      <c r="B253" s="929" t="s">
        <v>622</v>
      </c>
      <c r="C253" s="929" t="s">
        <v>1043</v>
      </c>
      <c r="D253" s="899" t="str">
        <f t="shared" si="3"/>
        <v>Netto-Jahresertrag [kWh/kWp] (Berechnung beilegen)</v>
      </c>
      <c r="E253" s="402" t="s">
        <v>1148</v>
      </c>
      <c r="F253" s="2338" t="s">
        <v>1632</v>
      </c>
      <c r="G253" s="403" t="s">
        <v>1427</v>
      </c>
    </row>
    <row r="254" spans="1:7" ht="25.9" customHeight="1">
      <c r="A254" s="401">
        <v>251</v>
      </c>
      <c r="B254" s="929" t="s">
        <v>622</v>
      </c>
      <c r="C254" s="929" t="s">
        <v>931</v>
      </c>
      <c r="D254" s="899" t="str">
        <f t="shared" si="3"/>
        <v>AC-Motor</v>
      </c>
      <c r="E254" s="402" t="s">
        <v>643</v>
      </c>
      <c r="F254" s="2338" t="s">
        <v>1551</v>
      </c>
      <c r="G254" s="403" t="s">
        <v>1309</v>
      </c>
    </row>
    <row r="255" spans="1:7" ht="25.9" customHeight="1">
      <c r="A255" s="401">
        <v>252</v>
      </c>
      <c r="B255" s="929" t="s">
        <v>622</v>
      </c>
      <c r="C255" s="929" t="s">
        <v>932</v>
      </c>
      <c r="D255" s="899" t="str">
        <f t="shared" si="3"/>
        <v>DC/EC-Motor</v>
      </c>
      <c r="E255" s="402" t="s">
        <v>644</v>
      </c>
      <c r="F255" s="2338" t="s">
        <v>1552</v>
      </c>
      <c r="G255" s="403" t="s">
        <v>1310</v>
      </c>
    </row>
    <row r="256" spans="1:7" ht="25.9" customHeight="1">
      <c r="A256" s="401">
        <v>253</v>
      </c>
      <c r="B256" s="929" t="s">
        <v>706</v>
      </c>
      <c r="C256" s="929" t="s">
        <v>1038</v>
      </c>
      <c r="D256" s="899" t="str">
        <f t="shared" si="3"/>
        <v>Wärmeerzeugung:</v>
      </c>
      <c r="E256" s="402" t="s">
        <v>161</v>
      </c>
      <c r="F256" s="2338" t="s">
        <v>1633</v>
      </c>
      <c r="G256" s="403" t="s">
        <v>1428</v>
      </c>
    </row>
    <row r="257" spans="1:7" ht="25.9" customHeight="1">
      <c r="A257" s="401">
        <v>254</v>
      </c>
      <c r="B257" s="929" t="s">
        <v>706</v>
      </c>
      <c r="C257" s="929" t="s">
        <v>1044</v>
      </c>
      <c r="D257" s="899" t="str">
        <f t="shared" si="3"/>
        <v>Nutzungsgrad / JAZ</v>
      </c>
      <c r="E257" s="402" t="s">
        <v>776</v>
      </c>
      <c r="F257" s="2338" t="s">
        <v>1634</v>
      </c>
      <c r="G257" s="403" t="s">
        <v>3065</v>
      </c>
    </row>
    <row r="258" spans="1:7" ht="25.9" customHeight="1">
      <c r="A258" s="401">
        <v>255</v>
      </c>
      <c r="B258" s="929" t="s">
        <v>706</v>
      </c>
      <c r="C258" s="929" t="s">
        <v>1045</v>
      </c>
      <c r="D258" s="899" t="str">
        <f t="shared" si="3"/>
        <v>Deckungsgrad [%]</v>
      </c>
      <c r="E258" s="402" t="s">
        <v>315</v>
      </c>
      <c r="F258" s="2338" t="s">
        <v>1635</v>
      </c>
      <c r="G258" s="403" t="s">
        <v>1429</v>
      </c>
    </row>
    <row r="259" spans="1:7" ht="25.9" customHeight="1">
      <c r="A259" s="401">
        <v>256</v>
      </c>
      <c r="B259" s="929" t="s">
        <v>706</v>
      </c>
      <c r="C259" s="929" t="s">
        <v>845</v>
      </c>
      <c r="D259" s="899" t="str">
        <f t="shared" si="3"/>
        <v>Wärmeerzeugung A</v>
      </c>
      <c r="E259" s="402" t="s">
        <v>324</v>
      </c>
      <c r="F259" s="2338" t="s">
        <v>1636</v>
      </c>
      <c r="G259" s="403" t="s">
        <v>1430</v>
      </c>
    </row>
    <row r="260" spans="1:7" ht="25.9" customHeight="1">
      <c r="A260" s="401">
        <v>257</v>
      </c>
      <c r="B260" s="929" t="s">
        <v>706</v>
      </c>
      <c r="C260" s="929" t="s">
        <v>1047</v>
      </c>
      <c r="D260" s="899" t="str">
        <f t="shared" si="3"/>
        <v>Wärmeerzeugung B</v>
      </c>
      <c r="E260" s="402" t="s">
        <v>327</v>
      </c>
      <c r="F260" s="2338" t="s">
        <v>1637</v>
      </c>
      <c r="G260" s="403" t="s">
        <v>1431</v>
      </c>
    </row>
    <row r="261" spans="1:7" ht="25.9" customHeight="1">
      <c r="A261" s="401">
        <v>258</v>
      </c>
      <c r="B261" s="929" t="s">
        <v>706</v>
      </c>
      <c r="C261" s="929" t="s">
        <v>852</v>
      </c>
      <c r="D261" s="899" t="str">
        <f t="shared" ref="D261:D324" si="4">INDEX($E$4:$G$503,$A261,$A$1)</f>
        <v>Wärmeerzeugung C</v>
      </c>
      <c r="E261" s="402" t="s">
        <v>326</v>
      </c>
      <c r="F261" s="2338" t="s">
        <v>1638</v>
      </c>
      <c r="G261" s="403" t="s">
        <v>1432</v>
      </c>
    </row>
    <row r="262" spans="1:7" ht="25.9" customHeight="1">
      <c r="A262" s="401">
        <v>259</v>
      </c>
      <c r="B262" s="929" t="s">
        <v>706</v>
      </c>
      <c r="C262" s="929" t="s">
        <v>488</v>
      </c>
      <c r="D262" s="899" t="str">
        <f t="shared" si="4"/>
        <v>Wärmeerzeugung D</v>
      </c>
      <c r="E262" s="402" t="s">
        <v>325</v>
      </c>
      <c r="F262" s="2338" t="s">
        <v>1639</v>
      </c>
      <c r="G262" s="403" t="s">
        <v>1433</v>
      </c>
    </row>
    <row r="263" spans="1:7" ht="25.9" customHeight="1">
      <c r="A263" s="401">
        <v>260</v>
      </c>
      <c r="B263" s="929" t="s">
        <v>706</v>
      </c>
      <c r="C263" s="929" t="s">
        <v>846</v>
      </c>
      <c r="D263" s="899" t="str">
        <f t="shared" si="4"/>
        <v>Eingabe</v>
      </c>
      <c r="E263" s="402" t="s">
        <v>739</v>
      </c>
      <c r="F263" s="2338" t="s">
        <v>1640</v>
      </c>
      <c r="G263" s="403" t="s">
        <v>1434</v>
      </c>
    </row>
    <row r="264" spans="1:7" ht="25.9" customHeight="1">
      <c r="A264" s="401">
        <v>261</v>
      </c>
      <c r="B264" s="929" t="s">
        <v>706</v>
      </c>
      <c r="C264" s="929" t="s">
        <v>1048</v>
      </c>
      <c r="D264" s="899" t="str">
        <f t="shared" si="4"/>
        <v>Rechenwert</v>
      </c>
      <c r="E264" s="402" t="s">
        <v>740</v>
      </c>
      <c r="F264" s="2338" t="s">
        <v>1641</v>
      </c>
      <c r="G264" s="403" t="s">
        <v>1435</v>
      </c>
    </row>
    <row r="265" spans="1:7" ht="25.9" customHeight="1">
      <c r="A265" s="401">
        <v>262</v>
      </c>
      <c r="B265" s="929" t="s">
        <v>706</v>
      </c>
      <c r="C265" s="929" t="s">
        <v>1046</v>
      </c>
      <c r="D265" s="899" t="str">
        <f t="shared" si="4"/>
        <v>Heizung</v>
      </c>
      <c r="E265" s="402" t="s">
        <v>243</v>
      </c>
      <c r="F265" s="2338" t="s">
        <v>1642</v>
      </c>
      <c r="G265" s="403" t="s">
        <v>1436</v>
      </c>
    </row>
    <row r="266" spans="1:7" ht="25.9" customHeight="1">
      <c r="A266" s="401">
        <v>263</v>
      </c>
      <c r="B266" s="929" t="s">
        <v>706</v>
      </c>
      <c r="C266" s="929" t="s">
        <v>710</v>
      </c>
      <c r="D266" s="899" t="str">
        <f t="shared" si="4"/>
        <v>Warmwasser</v>
      </c>
      <c r="E266" s="402" t="s">
        <v>244</v>
      </c>
      <c r="F266" s="2338" t="s">
        <v>1643</v>
      </c>
      <c r="G266" s="403" t="s">
        <v>1437</v>
      </c>
    </row>
    <row r="267" spans="1:7" ht="25.9" customHeight="1">
      <c r="A267" s="401">
        <v>264</v>
      </c>
      <c r="B267" s="929" t="s">
        <v>706</v>
      </c>
      <c r="C267" s="929" t="s">
        <v>550</v>
      </c>
      <c r="D267" s="899" t="str">
        <f t="shared" si="4"/>
        <v>Übertrag weitere Wärmeerzeugungen</v>
      </c>
      <c r="E267" s="402" t="s">
        <v>701</v>
      </c>
      <c r="F267" s="2338" t="s">
        <v>1644</v>
      </c>
      <c r="G267" s="403" t="s">
        <v>1438</v>
      </c>
    </row>
    <row r="268" spans="1:7" ht="25.9" customHeight="1">
      <c r="A268" s="401">
        <v>265</v>
      </c>
      <c r="B268" s="929" t="s">
        <v>706</v>
      </c>
      <c r="C268" s="929" t="s">
        <v>496</v>
      </c>
      <c r="D268" s="899" t="str">
        <f t="shared" si="4"/>
        <v>Zugeführte Elektrizität (ungewichtet)</v>
      </c>
      <c r="E268" s="402" t="s">
        <v>779</v>
      </c>
      <c r="F268" s="2338" t="s">
        <v>1645</v>
      </c>
      <c r="G268" s="403" t="s">
        <v>1439</v>
      </c>
    </row>
    <row r="269" spans="1:7" ht="25.9" customHeight="1">
      <c r="A269" s="401">
        <v>266</v>
      </c>
      <c r="B269" s="929" t="s">
        <v>706</v>
      </c>
      <c r="C269" s="929" t="s">
        <v>865</v>
      </c>
      <c r="D269" s="899" t="str">
        <f t="shared" si="4"/>
        <v>Zugeführte Energie (ohne Strom, gewichtet)</v>
      </c>
      <c r="E269" s="402" t="s">
        <v>780</v>
      </c>
      <c r="F269" s="2338" t="s">
        <v>1646</v>
      </c>
      <c r="G269" s="403" t="s">
        <v>1440</v>
      </c>
    </row>
    <row r="270" spans="1:7" ht="25.9" customHeight="1">
      <c r="A270" s="401">
        <v>267</v>
      </c>
      <c r="B270" s="929" t="s">
        <v>706</v>
      </c>
      <c r="C270" s="929" t="s">
        <v>1049</v>
      </c>
      <c r="D270" s="899" t="str">
        <f t="shared" si="4"/>
        <v>Deckungsgrad total:</v>
      </c>
      <c r="E270" s="402" t="s">
        <v>745</v>
      </c>
      <c r="F270" s="2338" t="s">
        <v>1647</v>
      </c>
      <c r="G270" s="403" t="s">
        <v>1441</v>
      </c>
    </row>
    <row r="271" spans="1:7" ht="25.9" customHeight="1">
      <c r="A271" s="401">
        <v>268</v>
      </c>
      <c r="B271" s="929" t="s">
        <v>706</v>
      </c>
      <c r="C271" s="929" t="s">
        <v>867</v>
      </c>
      <c r="D271" s="899" t="str">
        <f t="shared" si="4"/>
        <v>Gebäudedaten, Lüftung und Grenzwert:</v>
      </c>
      <c r="E271" s="402" t="s">
        <v>200</v>
      </c>
      <c r="F271" s="2338" t="s">
        <v>1648</v>
      </c>
      <c r="G271" s="403" t="s">
        <v>1442</v>
      </c>
    </row>
    <row r="272" spans="1:7" ht="25.9" customHeight="1">
      <c r="A272" s="401">
        <v>269</v>
      </c>
      <c r="B272" s="929" t="s">
        <v>706</v>
      </c>
      <c r="C272" s="929" t="s">
        <v>1050</v>
      </c>
      <c r="D272" s="899" t="str">
        <f t="shared" si="4"/>
        <v xml:space="preserve">Total/Mittel </v>
      </c>
      <c r="E272" s="402" t="s">
        <v>648</v>
      </c>
      <c r="F272" s="2338" t="s">
        <v>2413</v>
      </c>
      <c r="G272" s="403" t="s">
        <v>1443</v>
      </c>
    </row>
    <row r="273" spans="1:7" ht="25.9" customHeight="1">
      <c r="A273" s="401">
        <v>270</v>
      </c>
      <c r="B273" s="929" t="s">
        <v>706</v>
      </c>
      <c r="C273" s="929" t="s">
        <v>97</v>
      </c>
      <c r="D273" s="899" t="str">
        <f t="shared" si="4"/>
        <v>Heizwärmebedarf Qh,eff</v>
      </c>
      <c r="E273" s="402" t="s">
        <v>1051</v>
      </c>
      <c r="F273" s="2338" t="s">
        <v>1649</v>
      </c>
      <c r="G273" s="403" t="s">
        <v>1444</v>
      </c>
    </row>
    <row r="274" spans="1:7" ht="25.9" customHeight="1">
      <c r="A274" s="401">
        <v>271</v>
      </c>
      <c r="B274" s="929" t="s">
        <v>706</v>
      </c>
      <c r="C274" s="929" t="s">
        <v>97</v>
      </c>
      <c r="D274" s="899" t="str">
        <f t="shared" si="4"/>
        <v>Qh mit effektivem Luftwechsel</v>
      </c>
      <c r="E274" s="402" t="s">
        <v>1052</v>
      </c>
      <c r="F274" s="2338" t="s">
        <v>1650</v>
      </c>
      <c r="G274" s="403" t="s">
        <v>1445</v>
      </c>
    </row>
    <row r="275" spans="1:7" ht="25.9" customHeight="1">
      <c r="A275" s="401">
        <v>272</v>
      </c>
      <c r="B275" s="929" t="s">
        <v>706</v>
      </c>
      <c r="C275" s="929" t="s">
        <v>98</v>
      </c>
      <c r="D275" s="899" t="str">
        <f t="shared" si="4"/>
        <v>Qww Wärmebedarf Warmwasser SIA 380/1</v>
      </c>
      <c r="E275" s="402" t="s">
        <v>2539</v>
      </c>
      <c r="F275" s="2338" t="s">
        <v>2540</v>
      </c>
      <c r="G275" s="403" t="s">
        <v>2541</v>
      </c>
    </row>
    <row r="276" spans="1:7" ht="25.9" customHeight="1">
      <c r="A276" s="401">
        <v>273</v>
      </c>
      <c r="B276" s="929" t="s">
        <v>706</v>
      </c>
      <c r="C276" s="929" t="s">
        <v>487</v>
      </c>
      <c r="D276" s="899" t="str">
        <f t="shared" si="4"/>
        <v>Strombedarf Lüftungsanlage</v>
      </c>
      <c r="E276" s="402" t="s">
        <v>495</v>
      </c>
      <c r="F276" s="2338" t="s">
        <v>1651</v>
      </c>
      <c r="G276" s="403" t="s">
        <v>1446</v>
      </c>
    </row>
    <row r="277" spans="1:7" ht="25.9" customHeight="1">
      <c r="A277" s="401">
        <v>274</v>
      </c>
      <c r="B277" s="929" t="s">
        <v>706</v>
      </c>
      <c r="C277" s="929" t="s">
        <v>873</v>
      </c>
      <c r="D277" s="899" t="str">
        <f t="shared" si="4"/>
        <v>Strom Hilfsbetriebe / Kühlung</v>
      </c>
      <c r="E277" s="402" t="s">
        <v>1053</v>
      </c>
      <c r="F277" s="2338" t="s">
        <v>1652</v>
      </c>
      <c r="G277" s="403" t="s">
        <v>1447</v>
      </c>
    </row>
    <row r="278" spans="1:7" ht="25.9" customHeight="1">
      <c r="A278" s="401">
        <v>275</v>
      </c>
      <c r="B278" s="929" t="s">
        <v>706</v>
      </c>
      <c r="C278" s="929" t="s">
        <v>873</v>
      </c>
      <c r="D278" s="899" t="str">
        <f t="shared" si="4"/>
        <v>Strombedarf für Klima + Hilfsbetriebe</v>
      </c>
      <c r="E278" s="402" t="s">
        <v>1180</v>
      </c>
      <c r="F278" s="2338" t="s">
        <v>1653</v>
      </c>
      <c r="G278" s="403" t="s">
        <v>1448</v>
      </c>
    </row>
    <row r="279" spans="1:7" ht="25.9" customHeight="1">
      <c r="A279" s="401">
        <v>276</v>
      </c>
      <c r="B279" s="929" t="s">
        <v>706</v>
      </c>
      <c r="C279" s="929" t="s">
        <v>878</v>
      </c>
      <c r="D279" s="899" t="str">
        <f t="shared" si="4"/>
        <v>Massgebender Grenzwert</v>
      </c>
      <c r="E279" s="402" t="s">
        <v>554</v>
      </c>
      <c r="F279" s="2338" t="s">
        <v>1654</v>
      </c>
      <c r="G279" s="403" t="s">
        <v>1449</v>
      </c>
    </row>
    <row r="280" spans="1:7" ht="25.9" customHeight="1">
      <c r="A280" s="401">
        <v>277</v>
      </c>
      <c r="B280" s="929" t="s">
        <v>706</v>
      </c>
      <c r="C280" s="929" t="s">
        <v>879</v>
      </c>
      <c r="D280" s="899" t="str">
        <f t="shared" si="4"/>
        <v>Wärmeerzeugung:</v>
      </c>
      <c r="E280" s="402" t="s">
        <v>161</v>
      </c>
      <c r="F280" s="2338" t="s">
        <v>1633</v>
      </c>
      <c r="G280" s="403" t="s">
        <v>1428</v>
      </c>
    </row>
    <row r="281" spans="1:7" ht="25.9" customHeight="1">
      <c r="A281" s="401">
        <v>278</v>
      </c>
      <c r="B281" s="929" t="s">
        <v>706</v>
      </c>
      <c r="C281" s="929" t="s">
        <v>880</v>
      </c>
      <c r="D281" s="899" t="str">
        <f t="shared" si="4"/>
        <v>(Heizung + Warmwasser)</v>
      </c>
      <c r="E281" s="402" t="s">
        <v>646</v>
      </c>
      <c r="F281" s="2338" t="s">
        <v>1655</v>
      </c>
      <c r="G281" s="403" t="s">
        <v>1450</v>
      </c>
    </row>
    <row r="282" spans="1:7" ht="25.9" customHeight="1">
      <c r="A282" s="401">
        <v>279</v>
      </c>
      <c r="B282" s="929" t="s">
        <v>706</v>
      </c>
      <c r="C282" s="929" t="s">
        <v>1054</v>
      </c>
      <c r="D282" s="899" t="str">
        <f t="shared" si="4"/>
        <v>oder JAZ</v>
      </c>
      <c r="E282" s="402" t="s">
        <v>692</v>
      </c>
      <c r="F282" s="2338" t="s">
        <v>1656</v>
      </c>
      <c r="G282" s="403" t="s">
        <v>1451</v>
      </c>
    </row>
    <row r="283" spans="1:7" ht="25.9" customHeight="1">
      <c r="A283" s="401">
        <v>280</v>
      </c>
      <c r="B283" s="929" t="s">
        <v>706</v>
      </c>
      <c r="C283" s="929" t="s">
        <v>1056</v>
      </c>
      <c r="D283" s="899" t="str">
        <f t="shared" si="4"/>
        <v>Gewich-tung</v>
      </c>
      <c r="E283" s="402" t="s">
        <v>1055</v>
      </c>
      <c r="F283" s="2338" t="s">
        <v>1657</v>
      </c>
      <c r="G283" s="403" t="s">
        <v>3455</v>
      </c>
    </row>
    <row r="284" spans="1:7" ht="25.9" customHeight="1">
      <c r="A284" s="401">
        <v>281</v>
      </c>
      <c r="B284" s="929" t="s">
        <v>706</v>
      </c>
      <c r="C284" s="929" t="s">
        <v>1057</v>
      </c>
      <c r="D284" s="899" t="str">
        <f t="shared" si="4"/>
        <v>Deckungsgrad</v>
      </c>
      <c r="E284" s="402" t="s">
        <v>690</v>
      </c>
      <c r="F284" s="2338" t="s">
        <v>1658</v>
      </c>
      <c r="G284" s="403" t="s">
        <v>1452</v>
      </c>
    </row>
    <row r="285" spans="1:7" ht="25.9" customHeight="1">
      <c r="A285" s="401">
        <v>282</v>
      </c>
      <c r="B285" s="929" t="s">
        <v>706</v>
      </c>
      <c r="C285" s="929" t="s">
        <v>1059</v>
      </c>
      <c r="D285" s="899" t="str">
        <f t="shared" si="4"/>
        <v>gew. Endenergie kWh/m2</v>
      </c>
      <c r="E285" s="402" t="s">
        <v>1058</v>
      </c>
      <c r="F285" s="2338" t="s">
        <v>1659</v>
      </c>
      <c r="G285" s="403" t="s">
        <v>1453</v>
      </c>
    </row>
    <row r="286" spans="1:7" ht="25.9" customHeight="1">
      <c r="A286" s="401">
        <v>283</v>
      </c>
      <c r="B286" s="929" t="s">
        <v>706</v>
      </c>
      <c r="C286" s="929" t="s">
        <v>1060</v>
      </c>
      <c r="D286" s="899" t="str">
        <f t="shared" si="4"/>
        <v>Strom</v>
      </c>
      <c r="E286" s="402" t="s">
        <v>731</v>
      </c>
      <c r="F286" s="2338" t="s">
        <v>1660</v>
      </c>
      <c r="G286" s="403" t="s">
        <v>1454</v>
      </c>
    </row>
    <row r="287" spans="1:7" ht="25.9" customHeight="1">
      <c r="A287" s="401">
        <v>284</v>
      </c>
      <c r="B287" s="929" t="s">
        <v>706</v>
      </c>
      <c r="C287" s="929" t="s">
        <v>1061</v>
      </c>
      <c r="D287" s="899" t="str">
        <f t="shared" si="4"/>
        <v>andere</v>
      </c>
      <c r="E287" s="402" t="s">
        <v>179</v>
      </c>
      <c r="F287" s="2338" t="s">
        <v>1661</v>
      </c>
      <c r="G287" s="403" t="s">
        <v>1455</v>
      </c>
    </row>
    <row r="288" spans="1:7" ht="25.9" customHeight="1">
      <c r="A288" s="401">
        <v>285</v>
      </c>
      <c r="B288" s="929" t="s">
        <v>706</v>
      </c>
      <c r="C288" s="929" t="s">
        <v>1062</v>
      </c>
      <c r="D288" s="899" t="str">
        <f t="shared" si="4"/>
        <v>Wärme</v>
      </c>
      <c r="E288" s="402" t="s">
        <v>729</v>
      </c>
      <c r="F288" s="2338" t="s">
        <v>1662</v>
      </c>
      <c r="G288" s="403" t="s">
        <v>1456</v>
      </c>
    </row>
    <row r="289" spans="1:7" ht="25.9" customHeight="1">
      <c r="A289" s="401">
        <v>286</v>
      </c>
      <c r="B289" s="929" t="s">
        <v>706</v>
      </c>
      <c r="C289" s="929" t="s">
        <v>938</v>
      </c>
      <c r="D289" s="899" t="str">
        <f t="shared" si="4"/>
        <v>Strombedarf Lüftungsanlage</v>
      </c>
      <c r="E289" s="402" t="s">
        <v>495</v>
      </c>
      <c r="F289" s="2338" t="s">
        <v>1663</v>
      </c>
      <c r="G289" s="403" t="s">
        <v>1457</v>
      </c>
    </row>
    <row r="290" spans="1:7" ht="25.9" customHeight="1">
      <c r="A290" s="401">
        <v>287</v>
      </c>
      <c r="B290" s="929" t="s">
        <v>706</v>
      </c>
      <c r="C290" s="929" t="s">
        <v>1063</v>
      </c>
      <c r="D290" s="899" t="str">
        <f t="shared" si="4"/>
        <v>Strom Klima + Hilfsbetriebe</v>
      </c>
      <c r="E290" s="402" t="s">
        <v>512</v>
      </c>
      <c r="F290" s="2338" t="s">
        <v>1664</v>
      </c>
      <c r="G290" s="403" t="s">
        <v>1458</v>
      </c>
    </row>
    <row r="291" spans="1:7" ht="25.9" customHeight="1">
      <c r="A291" s="401">
        <v>288</v>
      </c>
      <c r="B291" s="929" t="s">
        <v>706</v>
      </c>
      <c r="C291" s="929" t="s">
        <v>1063</v>
      </c>
      <c r="D291" s="899" t="str">
        <f t="shared" si="4"/>
        <v>Strom für Klima + Hilfsbetriebe</v>
      </c>
      <c r="E291" s="402" t="s">
        <v>1187</v>
      </c>
      <c r="F291" s="2338" t="s">
        <v>1664</v>
      </c>
      <c r="G291" s="403" t="s">
        <v>1458</v>
      </c>
    </row>
    <row r="292" spans="1:7" ht="25.9" customHeight="1">
      <c r="A292" s="401">
        <v>289</v>
      </c>
      <c r="B292" s="929" t="s">
        <v>706</v>
      </c>
      <c r="C292" s="929" t="s">
        <v>1064</v>
      </c>
      <c r="D292" s="899" t="str">
        <f t="shared" si="4"/>
        <v>Total:</v>
      </c>
      <c r="E292" s="402" t="s">
        <v>691</v>
      </c>
      <c r="F292" s="2338" t="s">
        <v>691</v>
      </c>
      <c r="G292" s="403" t="s">
        <v>1459</v>
      </c>
    </row>
    <row r="293" spans="1:7" ht="25.9" customHeight="1">
      <c r="A293" s="401">
        <v>290</v>
      </c>
      <c r="B293" s="929" t="s">
        <v>706</v>
      </c>
      <c r="C293" s="929" t="s">
        <v>940</v>
      </c>
      <c r="D293" s="899" t="str">
        <f t="shared" si="4"/>
        <v>Erfüllung der Anforderungen:</v>
      </c>
      <c r="E293" s="402" t="s">
        <v>14</v>
      </c>
      <c r="F293" s="2338" t="s">
        <v>1665</v>
      </c>
      <c r="G293" s="403" t="s">
        <v>1460</v>
      </c>
    </row>
    <row r="294" spans="1:7" ht="25.9" customHeight="1">
      <c r="A294" s="401">
        <v>291</v>
      </c>
      <c r="B294" s="929" t="s">
        <v>706</v>
      </c>
      <c r="C294" s="929" t="s">
        <v>590</v>
      </c>
      <c r="D294" s="899" t="str">
        <f t="shared" si="4"/>
        <v>Anforderung</v>
      </c>
      <c r="E294" s="402" t="s">
        <v>494</v>
      </c>
      <c r="F294" s="2338" t="s">
        <v>1666</v>
      </c>
      <c r="G294" s="403" t="s">
        <v>1461</v>
      </c>
    </row>
    <row r="295" spans="1:7" ht="25.9" customHeight="1">
      <c r="A295" s="401">
        <v>292</v>
      </c>
      <c r="B295" s="929" t="s">
        <v>706</v>
      </c>
      <c r="C295" s="929" t="s">
        <v>1065</v>
      </c>
      <c r="D295" s="899" t="str">
        <f t="shared" si="4"/>
        <v>Berechneter Wert</v>
      </c>
      <c r="E295" s="402" t="s">
        <v>34</v>
      </c>
      <c r="F295" s="2338" t="s">
        <v>1641</v>
      </c>
      <c r="G295" s="403" t="s">
        <v>1462</v>
      </c>
    </row>
    <row r="296" spans="1:7" ht="25.9" customHeight="1">
      <c r="A296" s="401">
        <v>293</v>
      </c>
      <c r="B296" s="929" t="s">
        <v>706</v>
      </c>
      <c r="C296" s="929" t="s">
        <v>941</v>
      </c>
      <c r="D296" s="899" t="str">
        <f t="shared" si="4"/>
        <v>Minergie - Kennzahl Wärme</v>
      </c>
      <c r="E296" s="402" t="s">
        <v>1066</v>
      </c>
      <c r="F296" s="2338" t="s">
        <v>1667</v>
      </c>
      <c r="G296" s="403" t="s">
        <v>1463</v>
      </c>
    </row>
    <row r="297" spans="1:7" ht="25.9" customHeight="1">
      <c r="A297" s="401">
        <v>294</v>
      </c>
      <c r="B297" s="929" t="s">
        <v>706</v>
      </c>
      <c r="C297" s="929" t="s">
        <v>941</v>
      </c>
      <c r="D297" s="899" t="str">
        <f t="shared" si="4"/>
        <v>Grenzwert MINERGIE - P</v>
      </c>
      <c r="E297" s="402" t="s">
        <v>1067</v>
      </c>
      <c r="F297" s="2338" t="s">
        <v>1668</v>
      </c>
      <c r="G297" s="403" t="s">
        <v>1464</v>
      </c>
    </row>
    <row r="298" spans="1:7" ht="25.9" customHeight="1">
      <c r="A298" s="401">
        <v>295</v>
      </c>
      <c r="B298" s="929" t="s">
        <v>706</v>
      </c>
      <c r="C298" s="929" t="s">
        <v>941</v>
      </c>
      <c r="D298" s="899" t="str">
        <f t="shared" si="4"/>
        <v>Grenzwert</v>
      </c>
      <c r="E298" s="402" t="s">
        <v>657</v>
      </c>
      <c r="F298" s="2338" t="s">
        <v>1669</v>
      </c>
      <c r="G298" s="403" t="s">
        <v>1465</v>
      </c>
    </row>
    <row r="299" spans="1:7" ht="25.9" customHeight="1">
      <c r="A299" s="401">
        <v>296</v>
      </c>
      <c r="B299" s="929" t="s">
        <v>706</v>
      </c>
      <c r="C299" s="929" t="s">
        <v>1068</v>
      </c>
      <c r="D299" s="899" t="str">
        <f t="shared" si="4"/>
        <v>Erfüllt?</v>
      </c>
      <c r="E299" s="402" t="s">
        <v>35</v>
      </c>
      <c r="F299" s="2338" t="s">
        <v>1670</v>
      </c>
      <c r="G299" s="403" t="s">
        <v>1466</v>
      </c>
    </row>
    <row r="300" spans="1:7" ht="25.9" customHeight="1">
      <c r="A300" s="401">
        <v>297</v>
      </c>
      <c r="B300" s="929" t="s">
        <v>706</v>
      </c>
      <c r="C300" s="929" t="s">
        <v>937</v>
      </c>
      <c r="D300" s="899" t="str">
        <f t="shared" si="4"/>
        <v>weitere Wärmeerzeuger</v>
      </c>
      <c r="E300" s="402" t="s">
        <v>1069</v>
      </c>
      <c r="F300" s="2338" t="s">
        <v>1671</v>
      </c>
      <c r="G300" s="403" t="s">
        <v>1467</v>
      </c>
    </row>
    <row r="301" spans="1:7" ht="25.9" customHeight="1">
      <c r="A301" s="401">
        <v>298</v>
      </c>
      <c r="B301" s="929" t="s">
        <v>706</v>
      </c>
      <c r="C301" s="929" t="s">
        <v>944</v>
      </c>
      <c r="D301" s="899" t="str">
        <f t="shared" si="4"/>
        <v>Beilagen (alle Beilagen der linken Spalte einreichen)</v>
      </c>
      <c r="E301" s="402" t="s">
        <v>757</v>
      </c>
      <c r="F301" s="2338" t="s">
        <v>1672</v>
      </c>
      <c r="G301" s="403" t="s">
        <v>1468</v>
      </c>
    </row>
    <row r="302" spans="1:7" ht="25.9" customHeight="1">
      <c r="A302" s="401">
        <v>299</v>
      </c>
      <c r="B302" s="929" t="s">
        <v>706</v>
      </c>
      <c r="C302" s="929" t="s">
        <v>1070</v>
      </c>
      <c r="D302" s="899" t="str">
        <f t="shared" si="4"/>
        <v>Zutreffendes ankreuzen</v>
      </c>
      <c r="E302" s="402" t="s">
        <v>758</v>
      </c>
      <c r="F302" s="2338" t="s">
        <v>1673</v>
      </c>
      <c r="G302" s="403" t="s">
        <v>1469</v>
      </c>
    </row>
    <row r="303" spans="1:7" ht="25.9" customHeight="1">
      <c r="A303" s="401">
        <v>300</v>
      </c>
      <c r="B303" s="929" t="s">
        <v>706</v>
      </c>
      <c r="C303" s="929" t="s">
        <v>1071</v>
      </c>
      <c r="D303" s="899" t="str">
        <f t="shared" si="4"/>
        <v>Schema Heizung und Lüftung</v>
      </c>
      <c r="E303" s="402" t="s">
        <v>773</v>
      </c>
      <c r="F303" s="2338" t="s">
        <v>1674</v>
      </c>
      <c r="G303" s="403" t="s">
        <v>1470</v>
      </c>
    </row>
    <row r="304" spans="1:7" ht="25.9" customHeight="1">
      <c r="A304" s="401">
        <v>301</v>
      </c>
      <c r="B304" s="929" t="s">
        <v>706</v>
      </c>
      <c r="C304" s="929" t="s">
        <v>1072</v>
      </c>
      <c r="D304" s="899" t="str">
        <f t="shared" si="4"/>
        <v>Externe Berechnungen und Datenblätter</v>
      </c>
      <c r="E304" s="402" t="s">
        <v>774</v>
      </c>
      <c r="F304" s="2338" t="s">
        <v>1675</v>
      </c>
      <c r="G304" s="403" t="s">
        <v>1471</v>
      </c>
    </row>
    <row r="305" spans="1:7" ht="25.9" customHeight="1">
      <c r="A305" s="401">
        <v>302</v>
      </c>
      <c r="B305" s="929" t="s">
        <v>706</v>
      </c>
      <c r="C305" s="929" t="s">
        <v>1074</v>
      </c>
      <c r="D305" s="899" t="str">
        <f t="shared" si="4"/>
        <v xml:space="preserve">Bedarf nicht gedeckt  </v>
      </c>
      <c r="E305" s="402" t="s">
        <v>1073</v>
      </c>
      <c r="F305" s="2338" t="s">
        <v>1676</v>
      </c>
      <c r="G305" s="403" t="s">
        <v>1472</v>
      </c>
    </row>
    <row r="306" spans="1:7" ht="25.9" customHeight="1">
      <c r="A306" s="401">
        <v>303</v>
      </c>
      <c r="B306" s="929" t="s">
        <v>706</v>
      </c>
      <c r="C306" s="929" t="s">
        <v>1074</v>
      </c>
      <c r="D306" s="899" t="str">
        <f t="shared" si="4"/>
        <v>ohne Hallenbad</v>
      </c>
      <c r="E306" s="402" t="s">
        <v>1075</v>
      </c>
      <c r="F306" s="2338" t="s">
        <v>1677</v>
      </c>
      <c r="G306" s="403" t="s">
        <v>1473</v>
      </c>
    </row>
    <row r="307" spans="1:7" ht="29.25" customHeight="1">
      <c r="A307" s="401">
        <v>304</v>
      </c>
      <c r="B307" s="929" t="s">
        <v>706</v>
      </c>
      <c r="C307" s="929" t="s">
        <v>1076</v>
      </c>
      <c r="D307" s="899" t="str">
        <f t="shared" si="4"/>
        <v>Warmwasser mit mindestens 20% erneuerbarer Energie erzeugt (für Restaurants / Sportbauten / Hallenbäder) ?</v>
      </c>
      <c r="E307" s="402" t="s">
        <v>5170</v>
      </c>
      <c r="F307" s="2338" t="s">
        <v>5171</v>
      </c>
      <c r="G307" s="403" t="s">
        <v>5172</v>
      </c>
    </row>
    <row r="308" spans="1:7" ht="25.9" customHeight="1">
      <c r="A308" s="401">
        <v>305</v>
      </c>
      <c r="B308" s="929" t="s">
        <v>706</v>
      </c>
      <c r="C308" s="929" t="s">
        <v>1147</v>
      </c>
      <c r="D308" s="899" t="str">
        <f t="shared" si="4"/>
        <v>Deckungsgrad &lt;&gt; 100%</v>
      </c>
      <c r="E308" s="402" t="s">
        <v>1146</v>
      </c>
      <c r="F308" s="2338" t="s">
        <v>1678</v>
      </c>
      <c r="G308" s="403" t="s">
        <v>1474</v>
      </c>
    </row>
    <row r="309" spans="1:7" ht="25.9" customHeight="1">
      <c r="A309" s="401">
        <v>306</v>
      </c>
      <c r="D309" s="899" t="str">
        <f t="shared" si="4"/>
        <v>Netto-Jahresertrag pro kWp (Standardwert)</v>
      </c>
      <c r="E309" s="402" t="s">
        <v>85</v>
      </c>
      <c r="F309" s="2338" t="s">
        <v>624</v>
      </c>
      <c r="G309" s="403" t="s">
        <v>1475</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3519</v>
      </c>
      <c r="F310" s="2338" t="s">
        <v>3518</v>
      </c>
      <c r="G310" s="403" t="s">
        <v>3517</v>
      </c>
    </row>
    <row r="311" spans="1:7" ht="25.9" customHeight="1">
      <c r="A311" s="401">
        <v>308</v>
      </c>
      <c r="D311" s="899" t="str">
        <f t="shared" si="4"/>
        <v xml:space="preserve"> 'Lüftungsgerät mit Abluft-Wärmepumpe' wählen</v>
      </c>
      <c r="E311" s="402" t="s">
        <v>42</v>
      </c>
      <c r="F311" s="2338" t="s">
        <v>106</v>
      </c>
      <c r="G311" s="403" t="s">
        <v>1476</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1477</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1478</v>
      </c>
    </row>
    <row r="314" spans="1:7" ht="45" customHeight="1">
      <c r="A314" s="401">
        <v>311</v>
      </c>
      <c r="B314" s="929" t="s">
        <v>1747</v>
      </c>
      <c r="C314" s="929" t="s">
        <v>1764</v>
      </c>
      <c r="D314" s="899" t="str">
        <f t="shared" si="4"/>
        <v>Wenn Beschreibung zutrifft, ist Bedingung 'Glasanteil' nicht relevant. Wenn eine der beschriebenen Eigenschaften nicht zutrifft, ist n.a. anzuwählen.</v>
      </c>
      <c r="E314" s="402" t="s">
        <v>1763</v>
      </c>
      <c r="F314" s="2338" t="s">
        <v>2216</v>
      </c>
      <c r="G314" s="403" t="s">
        <v>1914</v>
      </c>
    </row>
    <row r="315" spans="1:7" ht="25.9" customHeight="1">
      <c r="A315" s="401">
        <v>312</v>
      </c>
      <c r="B315" s="929" t="s">
        <v>53</v>
      </c>
      <c r="C315" s="929" t="s">
        <v>1748</v>
      </c>
      <c r="D315" s="899" t="str">
        <f t="shared" si="4"/>
        <v>Eingaben</v>
      </c>
      <c r="E315" s="402" t="s">
        <v>53</v>
      </c>
      <c r="F315" s="2338" t="s">
        <v>1684</v>
      </c>
      <c r="G315" s="403" t="s">
        <v>1683</v>
      </c>
    </row>
    <row r="316" spans="1:7" ht="25.9" customHeight="1">
      <c r="A316" s="401">
        <v>313</v>
      </c>
      <c r="B316" s="929" t="s">
        <v>706</v>
      </c>
      <c r="C316" s="929" t="s">
        <v>1748</v>
      </c>
      <c r="D316" s="899" t="str">
        <f t="shared" si="4"/>
        <v>Nachweis</v>
      </c>
      <c r="E316" s="402" t="s">
        <v>706</v>
      </c>
      <c r="F316" s="2338" t="s">
        <v>1685</v>
      </c>
      <c r="G316" s="403" t="s">
        <v>1682</v>
      </c>
    </row>
    <row r="317" spans="1:7" ht="25.9" customHeight="1">
      <c r="A317" s="401">
        <v>314</v>
      </c>
      <c r="B317" s="929" t="s">
        <v>1797</v>
      </c>
      <c r="C317" s="929" t="s">
        <v>1748</v>
      </c>
      <c r="D317" s="899" t="str">
        <f t="shared" si="4"/>
        <v>Uebrsicht</v>
      </c>
      <c r="E317" s="402" t="s">
        <v>1796</v>
      </c>
      <c r="F317" s="2338" t="s">
        <v>2217</v>
      </c>
      <c r="G317" s="403" t="s">
        <v>2307</v>
      </c>
    </row>
    <row r="318" spans="1:7" ht="25.9" customHeight="1">
      <c r="A318" s="401">
        <v>315</v>
      </c>
      <c r="B318" s="929" t="s">
        <v>1797</v>
      </c>
      <c r="C318" s="929" t="s">
        <v>842</v>
      </c>
      <c r="D318" s="899" t="str">
        <f t="shared" si="4"/>
        <v>Übersicht</v>
      </c>
      <c r="E318" s="402" t="s">
        <v>1871</v>
      </c>
      <c r="F318" s="2338" t="s">
        <v>2217</v>
      </c>
      <c r="G318" s="403" t="s">
        <v>2307</v>
      </c>
    </row>
    <row r="319" spans="1:7" ht="25.9" customHeight="1">
      <c r="A319" s="401">
        <v>316</v>
      </c>
      <c r="B319" s="929" t="s">
        <v>1747</v>
      </c>
      <c r="C319" s="929" t="s">
        <v>1748</v>
      </c>
      <c r="D319" s="899" t="str">
        <f t="shared" si="4"/>
        <v>Sommer</v>
      </c>
      <c r="E319" s="402" t="s">
        <v>1747</v>
      </c>
      <c r="F319" s="2338" t="s">
        <v>2218</v>
      </c>
      <c r="G319" s="403" t="s">
        <v>2308</v>
      </c>
    </row>
    <row r="320" spans="1:7" ht="25.9" customHeight="1">
      <c r="A320" s="401">
        <v>317</v>
      </c>
      <c r="B320" s="929" t="s">
        <v>1747</v>
      </c>
      <c r="C320" s="929" t="s">
        <v>1749</v>
      </c>
      <c r="D320" s="899" t="str">
        <f t="shared" si="4"/>
        <v>Sommerlicher Wärmeschutz im Minergie-Standard</v>
      </c>
      <c r="E320" s="402" t="s">
        <v>2754</v>
      </c>
      <c r="F320" s="2338" t="s">
        <v>2755</v>
      </c>
      <c r="G320" s="403" t="s">
        <v>2756</v>
      </c>
    </row>
    <row r="321" spans="1:7" ht="96" customHeight="1">
      <c r="A321" s="401">
        <v>318</v>
      </c>
      <c r="B321" s="929" t="s">
        <v>1747</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1715</v>
      </c>
      <c r="F321" s="2338" t="s">
        <v>2219</v>
      </c>
      <c r="G321" s="403" t="s">
        <v>2309</v>
      </c>
    </row>
    <row r="322" spans="1:7" ht="39" customHeight="1">
      <c r="A322" s="401">
        <v>319</v>
      </c>
      <c r="B322" s="929" t="s">
        <v>1747</v>
      </c>
      <c r="C322" s="929" t="s">
        <v>1751</v>
      </c>
      <c r="D322" s="899" t="str">
        <f t="shared" si="4"/>
        <v>Variante 1: Globalbeurteilung von Standardfällen für die Nutzungen Wohnen, Einzelbüro, Gruppenbüro, Sitzungszimmer und Lager (ohne Kühlung)</v>
      </c>
      <c r="E322" s="402" t="s">
        <v>1750</v>
      </c>
      <c r="F322" s="2338" t="s">
        <v>2220</v>
      </c>
      <c r="G322" s="403" t="s">
        <v>2310</v>
      </c>
    </row>
    <row r="323" spans="1:7" ht="25.9" customHeight="1">
      <c r="A323" s="401">
        <v>320</v>
      </c>
      <c r="B323" s="929" t="s">
        <v>1747</v>
      </c>
      <c r="C323" s="929" t="s">
        <v>1047</v>
      </c>
      <c r="D323" s="899" t="str">
        <f t="shared" si="4"/>
        <v>Die Globalbeurteilung gilt für Zonen in denen in allen Räumen folgende Bedingungen eingehalten sind:</v>
      </c>
      <c r="E323" s="402" t="s">
        <v>1716</v>
      </c>
      <c r="F323" s="2338" t="s">
        <v>2221</v>
      </c>
      <c r="G323" s="403" t="s">
        <v>2311</v>
      </c>
    </row>
    <row r="324" spans="1:7" ht="54.95" customHeight="1">
      <c r="A324" s="401">
        <v>321</v>
      </c>
      <c r="B324" s="929" t="s">
        <v>1747</v>
      </c>
      <c r="C324" s="929" t="s">
        <v>1752</v>
      </c>
      <c r="D324" s="899" t="str">
        <f t="shared" si="4"/>
        <v>- keine Oblichter oder Dachflächenfenster mit Glasflächen &gt; 0.5 m2, grössere Glasflächen können in vertikale Flächen
  umgerechnet werden -&gt; siehe Anwendungshilfe</v>
      </c>
      <c r="E324" s="429" t="s">
        <v>1718</v>
      </c>
      <c r="F324" s="1394" t="s">
        <v>2757</v>
      </c>
      <c r="G324" s="1393" t="s">
        <v>2809</v>
      </c>
    </row>
    <row r="325" spans="1:7" ht="25.9" customHeight="1">
      <c r="A325" s="401">
        <v>322</v>
      </c>
      <c r="B325" s="929" t="s">
        <v>1747</v>
      </c>
      <c r="C325" s="929" t="s">
        <v>849</v>
      </c>
      <c r="D325" s="899" t="str">
        <f t="shared" ref="D325:D388" si="5">INDEX($E$4:$G$503,$A325,$A$1)</f>
        <v>- aussenliegender beweglicher Sonnenschutz mit Rollläden oder Rafflamellenstoren (z.B. Minergie-Module);</v>
      </c>
      <c r="E325" s="429" t="s">
        <v>2758</v>
      </c>
      <c r="F325" s="2338" t="s">
        <v>2759</v>
      </c>
      <c r="G325" s="1393" t="s">
        <v>2760</v>
      </c>
    </row>
    <row r="326" spans="1:7" ht="25.9" customHeight="1">
      <c r="A326" s="401">
        <v>323</v>
      </c>
      <c r="B326" s="929" t="s">
        <v>1747</v>
      </c>
      <c r="C326" s="929" t="s">
        <v>466</v>
      </c>
      <c r="D326" s="899" t="str">
        <f t="shared" si="5"/>
        <v>- Nachtauskühlung mit Fensterlüftung ist möglich;</v>
      </c>
      <c r="E326" s="429" t="s">
        <v>1719</v>
      </c>
      <c r="F326" s="2338" t="s">
        <v>2222</v>
      </c>
      <c r="G326" s="403" t="s">
        <v>2312</v>
      </c>
    </row>
    <row r="327" spans="1:7" ht="25.9" customHeight="1">
      <c r="A327" s="401">
        <v>324</v>
      </c>
      <c r="B327" s="929" t="s">
        <v>1747</v>
      </c>
      <c r="C327" s="929" t="s">
        <v>852</v>
      </c>
      <c r="D327" s="899" t="str">
        <f t="shared" si="5"/>
        <v>- interne Wärmelasten nicht höher als die Standardwerte im Merkblatt SIA 2024.</v>
      </c>
      <c r="E327" s="429" t="s">
        <v>1720</v>
      </c>
      <c r="F327" s="2338" t="s">
        <v>2223</v>
      </c>
      <c r="G327" s="403" t="s">
        <v>2313</v>
      </c>
    </row>
    <row r="328" spans="1:7" ht="25.9" customHeight="1">
      <c r="A328" s="401">
        <v>325</v>
      </c>
      <c r="B328" s="929" t="s">
        <v>1747</v>
      </c>
      <c r="C328" s="929" t="s">
        <v>854</v>
      </c>
      <c r="D328" s="899" t="str">
        <f t="shared" si="5"/>
        <v>Erfüllen die Räume in der Zone die Kriterien?</v>
      </c>
      <c r="E328" s="402" t="s">
        <v>1723</v>
      </c>
      <c r="F328" s="2338" t="s">
        <v>2224</v>
      </c>
      <c r="G328" s="403" t="s">
        <v>2314</v>
      </c>
    </row>
    <row r="329" spans="1:7" ht="25.9" customHeight="1">
      <c r="A329" s="401">
        <v>326</v>
      </c>
      <c r="B329" s="929" t="s">
        <v>1747</v>
      </c>
      <c r="C329" s="929" t="s">
        <v>1753</v>
      </c>
      <c r="D329" s="899" t="str">
        <f t="shared" si="5"/>
        <v>Aussenliegender beweglicher Sonnenschutz. Bei "andere" hier deklarieren:</v>
      </c>
      <c r="E329" s="402" t="s">
        <v>1724</v>
      </c>
      <c r="F329" s="2338" t="s">
        <v>2225</v>
      </c>
      <c r="G329" s="403" t="s">
        <v>2315</v>
      </c>
    </row>
    <row r="330" spans="1:7" ht="25.9" customHeight="1">
      <c r="A330" s="401">
        <v>327</v>
      </c>
      <c r="B330" s="929" t="s">
        <v>1747</v>
      </c>
      <c r="C330" s="929" t="s">
        <v>886</v>
      </c>
      <c r="D330" s="899" t="str">
        <f t="shared" si="5"/>
        <v>g-Wert und Produktebezeichnung</v>
      </c>
      <c r="E330" s="402" t="s">
        <v>1754</v>
      </c>
      <c r="F330" s="2338" t="s">
        <v>2226</v>
      </c>
      <c r="G330" s="403" t="s">
        <v>2316</v>
      </c>
    </row>
    <row r="331" spans="1:7" ht="46.5" customHeight="1">
      <c r="A331" s="401">
        <v>328</v>
      </c>
      <c r="B331" s="929" t="s">
        <v>1747</v>
      </c>
      <c r="C331" s="929" t="s">
        <v>1755</v>
      </c>
      <c r="D331" s="899" t="str">
        <f t="shared" si="5"/>
        <v>Wohnen (EFH, MFH), Räume mit 1 Fassade, Betondecke (&gt;80% frei):
- Glasanteil &lt;70%</v>
      </c>
      <c r="E331" s="402" t="s">
        <v>1725</v>
      </c>
      <c r="F331" s="2338" t="s">
        <v>2404</v>
      </c>
      <c r="G331" s="403" t="s">
        <v>2410</v>
      </c>
    </row>
    <row r="332" spans="1:7" ht="34.9" customHeight="1">
      <c r="A332" s="401">
        <v>329</v>
      </c>
      <c r="B332" s="929" t="s">
        <v>1747</v>
      </c>
      <c r="C332" s="929" t="s">
        <v>549</v>
      </c>
      <c r="D332" s="899" t="str">
        <f t="shared" si="5"/>
        <v>Wohnen (EFH,MFH), Eckzimmer; Betondecke (&gt;80% frei):
- Glasanteil pro Fassade &lt;50%</v>
      </c>
      <c r="E332" s="402" t="s">
        <v>1726</v>
      </c>
      <c r="F332" s="2338" t="s">
        <v>2405</v>
      </c>
      <c r="G332" s="1393" t="s">
        <v>2411</v>
      </c>
    </row>
    <row r="333" spans="1:7" ht="49.5" customHeight="1">
      <c r="A333" s="401">
        <v>330</v>
      </c>
      <c r="B333" s="929" t="s">
        <v>1747</v>
      </c>
      <c r="C333" s="929" t="s">
        <v>1756</v>
      </c>
      <c r="D333" s="899" t="str">
        <f t="shared" si="5"/>
        <v>Wohnen (EFH, MFH), 1 Fassade oder Eckzimmer. Holzdecke und Zementunterlagsboden mit min. 6 cm oder Anhydrit min. 5 cm Stärke:
- Glasanteil &lt;40%</v>
      </c>
      <c r="E333" s="402" t="s">
        <v>1727</v>
      </c>
      <c r="F333" s="2338" t="s">
        <v>2805</v>
      </c>
      <c r="G333" s="403" t="s">
        <v>2804</v>
      </c>
    </row>
    <row r="334" spans="1:7" ht="66" customHeight="1">
      <c r="A334" s="401">
        <v>331</v>
      </c>
      <c r="B334" s="929" t="s">
        <v>1747</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1728</v>
      </c>
      <c r="F334" s="2338" t="s">
        <v>2406</v>
      </c>
      <c r="G334" s="1393" t="s">
        <v>2806</v>
      </c>
    </row>
    <row r="335" spans="1:7" ht="42.75" customHeight="1">
      <c r="A335" s="401">
        <v>332</v>
      </c>
      <c r="B335" s="929" t="s">
        <v>1747</v>
      </c>
      <c r="C335" s="929" t="s">
        <v>551</v>
      </c>
      <c r="D335" s="899" t="str">
        <f t="shared" si="5"/>
        <v>Einzelbüro, Gruppenbüro, Sitzungszimmer mit 1 Fassade, Betondecke (&gt;80% frei):
- Glasanteil &lt;50% und automat. Steuerung des Sonnenschutzes</v>
      </c>
      <c r="E335" s="402" t="s">
        <v>1757</v>
      </c>
      <c r="F335" s="2338" t="s">
        <v>2407</v>
      </c>
      <c r="G335" s="403" t="s">
        <v>2808</v>
      </c>
    </row>
    <row r="336" spans="1:7" ht="40.5" customHeight="1">
      <c r="A336" s="401">
        <v>333</v>
      </c>
      <c r="B336" s="929" t="s">
        <v>1747</v>
      </c>
      <c r="C336" s="929" t="s">
        <v>496</v>
      </c>
      <c r="D336" s="899" t="str">
        <f t="shared" si="5"/>
        <v>Einzelbüro, Gruppenbüro, Sitzungszimmer als Eckzimmer, Betondecke (&gt;80% frei):
- Glasanteil &lt;35% und automat. Steuerung des Sonnenschutzes</v>
      </c>
      <c r="E336" s="402" t="s">
        <v>1758</v>
      </c>
      <c r="F336" s="2338" t="s">
        <v>2408</v>
      </c>
      <c r="G336" s="403" t="s">
        <v>2807</v>
      </c>
    </row>
    <row r="337" spans="1:7" ht="25.9" customHeight="1">
      <c r="A337" s="401">
        <v>334</v>
      </c>
      <c r="B337" s="929" t="s">
        <v>1747</v>
      </c>
      <c r="C337" s="929" t="s">
        <v>1760</v>
      </c>
      <c r="D337" s="899" t="str">
        <f t="shared" si="5"/>
        <v>Lager mit geringen internen Wärmelasten</v>
      </c>
      <c r="E337" s="402" t="s">
        <v>1759</v>
      </c>
      <c r="F337" s="2338" t="s">
        <v>2227</v>
      </c>
      <c r="G337" s="403" t="s">
        <v>2317</v>
      </c>
    </row>
    <row r="338" spans="1:7" ht="67.5" customHeight="1">
      <c r="A338" s="401">
        <v>335</v>
      </c>
      <c r="B338" s="929" t="s">
        <v>1747</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1729</v>
      </c>
      <c r="F338" s="2338" t="s">
        <v>2409</v>
      </c>
      <c r="G338" s="403" t="s">
        <v>2412</v>
      </c>
    </row>
    <row r="339" spans="1:7" ht="25.9" customHeight="1">
      <c r="A339" s="401">
        <v>336</v>
      </c>
      <c r="B339" s="929" t="s">
        <v>1747</v>
      </c>
      <c r="C339" s="929" t="s">
        <v>1762</v>
      </c>
      <c r="D339" s="899" t="str">
        <f t="shared" si="5"/>
        <v>Wenn S14 zutrifft, ist in S11 n.a. anzuwählen.</v>
      </c>
      <c r="E339" s="402" t="s">
        <v>1761</v>
      </c>
      <c r="F339" s="2338" t="s">
        <v>2228</v>
      </c>
      <c r="G339" s="403" t="s">
        <v>2325</v>
      </c>
    </row>
    <row r="340" spans="1:7" ht="43.5" customHeight="1">
      <c r="A340" s="401">
        <v>337</v>
      </c>
      <c r="B340" s="929" t="s">
        <v>1747</v>
      </c>
      <c r="C340" s="929" t="s">
        <v>1764</v>
      </c>
      <c r="D340" s="899" t="str">
        <f t="shared" si="5"/>
        <v>Wenn Beschreibung zutrifft, ist Bedingung 'Glasanteil' nicht relevant. Wenn eine der beschriebenen Eigenschaften nicht zutrifft, ist n.a. anzuwählen.</v>
      </c>
      <c r="E340" s="402" t="s">
        <v>1763</v>
      </c>
      <c r="F340" s="2338" t="s">
        <v>2216</v>
      </c>
      <c r="G340" s="403" t="s">
        <v>1914</v>
      </c>
    </row>
    <row r="341" spans="1:7" ht="25.9" customHeight="1">
      <c r="A341" s="401">
        <v>338</v>
      </c>
      <c r="B341" s="929" t="s">
        <v>1747</v>
      </c>
      <c r="C341" s="929" t="s">
        <v>870</v>
      </c>
      <c r="D341" s="899" t="str">
        <f t="shared" si="5"/>
        <v>Variante 2: Externer Nachweis der Kriterien gemäss SIA382/1 (ohne Kühlung)</v>
      </c>
      <c r="E341" s="402" t="s">
        <v>1730</v>
      </c>
      <c r="F341" s="2338" t="s">
        <v>2229</v>
      </c>
      <c r="G341" s="403" t="s">
        <v>2319</v>
      </c>
    </row>
    <row r="342" spans="1:7" ht="25.9" customHeight="1">
      <c r="A342" s="401">
        <v>339</v>
      </c>
      <c r="B342" s="929" t="s">
        <v>1747</v>
      </c>
      <c r="C342" s="929" t="s">
        <v>1765</v>
      </c>
      <c r="D342" s="899" t="str">
        <f t="shared" si="5"/>
        <v>Die Erfüllung dieser Kriterien wird in Beilagen beschrieben und dokumentiert.</v>
      </c>
      <c r="E342" s="402" t="s">
        <v>1731</v>
      </c>
      <c r="F342" s="2338" t="s">
        <v>2230</v>
      </c>
      <c r="G342" s="403" t="s">
        <v>2320</v>
      </c>
    </row>
    <row r="343" spans="1:7" ht="25.9" customHeight="1">
      <c r="A343" s="401">
        <v>340</v>
      </c>
      <c r="B343" s="929" t="s">
        <v>1747</v>
      </c>
      <c r="C343" s="929" t="s">
        <v>97</v>
      </c>
      <c r="D343" s="899" t="str">
        <f t="shared" si="5"/>
        <v>SIA 382/1 Ziffer</v>
      </c>
      <c r="E343" s="402" t="s">
        <v>1732</v>
      </c>
      <c r="F343" s="2338" t="s">
        <v>2231</v>
      </c>
      <c r="G343" s="403" t="s">
        <v>2321</v>
      </c>
    </row>
    <row r="344" spans="1:7" ht="25.9" customHeight="1">
      <c r="A344" s="401">
        <v>341</v>
      </c>
      <c r="B344" s="929" t="s">
        <v>1747</v>
      </c>
      <c r="C344" s="929" t="s">
        <v>1766</v>
      </c>
      <c r="D344" s="899" t="str">
        <f t="shared" si="5"/>
        <v>Anforderungen an den Sonnenschutz sind gemäss Zusatzformular sommerlicher Wärmeschutz erfüllt.</v>
      </c>
      <c r="E344" s="402" t="s">
        <v>1734</v>
      </c>
      <c r="F344" s="2338" t="s">
        <v>2232</v>
      </c>
      <c r="G344" s="403" t="s">
        <v>2322</v>
      </c>
    </row>
    <row r="345" spans="1:7" ht="25.9" customHeight="1">
      <c r="A345" s="401">
        <v>342</v>
      </c>
      <c r="B345" s="929" t="s">
        <v>1747</v>
      </c>
      <c r="C345" s="929" t="s">
        <v>871</v>
      </c>
      <c r="D345" s="899" t="str">
        <f t="shared" si="5"/>
        <v>Bemerkungen zum externen Nachweis (Art, Beilage, z.B. Hilfskriterien gemäss Anwendungshilfe):</v>
      </c>
      <c r="E345" s="402" t="s">
        <v>1739</v>
      </c>
      <c r="F345" s="2338" t="s">
        <v>2233</v>
      </c>
      <c r="G345" s="403" t="s">
        <v>2323</v>
      </c>
    </row>
    <row r="346" spans="1:7" ht="25.9" customHeight="1">
      <c r="A346" s="401">
        <v>343</v>
      </c>
      <c r="B346" s="929" t="s">
        <v>1747</v>
      </c>
      <c r="C346" s="929" t="s">
        <v>879</v>
      </c>
      <c r="D346" s="899" t="str">
        <f t="shared" si="5"/>
        <v>Variante 3: Externer Nachweis der Kriterien gemäss SIA382/1 (mit Kühlung)</v>
      </c>
      <c r="E346" s="402" t="s">
        <v>1767</v>
      </c>
      <c r="F346" s="2338" t="s">
        <v>2234</v>
      </c>
      <c r="G346" s="403" t="s">
        <v>2324</v>
      </c>
    </row>
    <row r="347" spans="1:7" ht="41.25" customHeight="1">
      <c r="A347" s="401">
        <v>344</v>
      </c>
      <c r="B347" s="929" t="s">
        <v>1747</v>
      </c>
      <c r="C347" s="929" t="s">
        <v>1768</v>
      </c>
      <c r="D347" s="899" t="str">
        <f t="shared" si="5"/>
        <v>Die sommerlichen Raumlufttemperaturen wurden gemäss SIA 382/1, Zif. 4.4.4 berechnet. Die Grenzwertkurve wird ohne Kühlung an weniger als 100 h überschritten.</v>
      </c>
      <c r="E347" s="402" t="s">
        <v>1740</v>
      </c>
      <c r="F347" s="2338" t="s">
        <v>2235</v>
      </c>
      <c r="G347" s="403" t="s">
        <v>2326</v>
      </c>
    </row>
    <row r="348" spans="1:7" ht="44.25" customHeight="1">
      <c r="A348" s="401">
        <v>345</v>
      </c>
      <c r="B348" s="929" t="s">
        <v>1747</v>
      </c>
      <c r="C348" s="929" t="s">
        <v>933</v>
      </c>
      <c r="D348" s="899" t="str">
        <f t="shared" si="5"/>
        <v>Die Zone ist gekühlt und der Energiebedarf wurde berechnet. 
Es treten keinen hohen sommerlichen Raumlufttemperaturen auf.</v>
      </c>
      <c r="E348" s="402" t="s">
        <v>1742</v>
      </c>
      <c r="F348" s="2338" t="s">
        <v>2240</v>
      </c>
      <c r="G348" s="403" t="s">
        <v>2327</v>
      </c>
    </row>
    <row r="349" spans="1:7" ht="25.9" customHeight="1">
      <c r="A349" s="401">
        <v>346</v>
      </c>
      <c r="B349" s="929" t="s">
        <v>1747</v>
      </c>
      <c r="C349" s="929" t="s">
        <v>938</v>
      </c>
      <c r="D349" s="899" t="str">
        <f t="shared" si="5"/>
        <v>Gemäss Deklaration sind Anforderungen an den sommerlichen Wärmeschutz erfüllt.</v>
      </c>
      <c r="E349" s="402" t="s">
        <v>1746</v>
      </c>
      <c r="F349" s="2338" t="s">
        <v>2236</v>
      </c>
      <c r="G349" s="403" t="s">
        <v>2328</v>
      </c>
    </row>
    <row r="350" spans="1:7" ht="25.9" customHeight="1">
      <c r="A350" s="401">
        <v>347</v>
      </c>
      <c r="B350" s="929" t="s">
        <v>1747</v>
      </c>
      <c r="C350" s="929" t="s">
        <v>1769</v>
      </c>
      <c r="D350" s="899" t="str">
        <f t="shared" si="5"/>
        <v>Rollläden</v>
      </c>
      <c r="E350" s="402" t="s">
        <v>1717</v>
      </c>
      <c r="F350" s="2338" t="s">
        <v>2237</v>
      </c>
      <c r="G350" s="403" t="s">
        <v>2761</v>
      </c>
    </row>
    <row r="351" spans="1:7" ht="25.9" customHeight="1">
      <c r="A351" s="401">
        <v>348</v>
      </c>
      <c r="B351" s="929" t="s">
        <v>1747</v>
      </c>
      <c r="C351" s="929" t="s">
        <v>1770</v>
      </c>
      <c r="D351" s="899" t="str">
        <f t="shared" si="5"/>
        <v>Rafflamellen</v>
      </c>
      <c r="E351" s="402" t="s">
        <v>1771</v>
      </c>
      <c r="F351" s="2338" t="s">
        <v>2238</v>
      </c>
      <c r="G351" s="403" t="s">
        <v>2329</v>
      </c>
    </row>
    <row r="352" spans="1:7" ht="25.9" customHeight="1">
      <c r="A352" s="401">
        <v>349</v>
      </c>
      <c r="B352" s="929" t="s">
        <v>1747</v>
      </c>
      <c r="C352" s="929" t="s">
        <v>1772</v>
      </c>
      <c r="D352" s="899" t="str">
        <f t="shared" si="5"/>
        <v>Modul Minergie</v>
      </c>
      <c r="E352" s="402" t="s">
        <v>2762</v>
      </c>
      <c r="F352" s="2338" t="s">
        <v>2763</v>
      </c>
      <c r="G352" s="403" t="s">
        <v>2330</v>
      </c>
    </row>
    <row r="353" spans="1:7" ht="25.9" customHeight="1">
      <c r="A353" s="401">
        <v>350</v>
      </c>
      <c r="B353" s="929" t="s">
        <v>1747</v>
      </c>
      <c r="C353" s="929" t="s">
        <v>1773</v>
      </c>
      <c r="D353" s="899" t="str">
        <f t="shared" si="5"/>
        <v>andere</v>
      </c>
      <c r="E353" s="402" t="s">
        <v>179</v>
      </c>
      <c r="F353" s="2338" t="s">
        <v>2239</v>
      </c>
      <c r="G353" s="403" t="s">
        <v>1455</v>
      </c>
    </row>
    <row r="354" spans="1:7" ht="25.9" customHeight="1">
      <c r="A354" s="401">
        <v>351</v>
      </c>
      <c r="B354" s="929" t="s">
        <v>1747</v>
      </c>
      <c r="C354" s="929" t="s">
        <v>886</v>
      </c>
      <c r="D354" s="899" t="str">
        <f t="shared" si="5"/>
        <v>g-Wert und Produktebezeichnung</v>
      </c>
      <c r="E354" s="402" t="s">
        <v>1754</v>
      </c>
      <c r="F354" s="2338" t="s">
        <v>2226</v>
      </c>
      <c r="G354" s="403" t="s">
        <v>2316</v>
      </c>
    </row>
    <row r="355" spans="1:7" ht="25.9" customHeight="1">
      <c r="A355" s="401">
        <v>352</v>
      </c>
      <c r="B355" s="929" t="s">
        <v>1747</v>
      </c>
      <c r="C355" s="929" t="s">
        <v>1762</v>
      </c>
      <c r="D355" s="899" t="str">
        <f t="shared" si="5"/>
        <v>Wenn S14 zutrifft, ist in S11 n.a. anzuwählen.</v>
      </c>
      <c r="E355" s="402" t="s">
        <v>1761</v>
      </c>
      <c r="F355" s="2338" t="s">
        <v>2228</v>
      </c>
      <c r="G355" s="403" t="s">
        <v>2318</v>
      </c>
    </row>
    <row r="356" spans="1:7" ht="25.9" customHeight="1">
      <c r="A356" s="401">
        <v>353</v>
      </c>
      <c r="B356" s="929" t="s">
        <v>53</v>
      </c>
      <c r="C356" s="929" t="s">
        <v>845</v>
      </c>
      <c r="D356" s="899" t="str">
        <f t="shared" si="5"/>
        <v>Projektname:</v>
      </c>
      <c r="E356" s="402" t="s">
        <v>1775</v>
      </c>
      <c r="F356" s="2338" t="s">
        <v>2241</v>
      </c>
      <c r="G356" s="403" t="s">
        <v>2331</v>
      </c>
    </row>
    <row r="357" spans="1:7" ht="25.9" customHeight="1">
      <c r="A357" s="401">
        <v>354</v>
      </c>
      <c r="B357" s="929" t="s">
        <v>53</v>
      </c>
      <c r="C357" s="929" t="s">
        <v>550</v>
      </c>
      <c r="D357" s="899" t="str">
        <f t="shared" si="5"/>
        <v>Gebäudehüllzahl</v>
      </c>
      <c r="E357" s="402" t="s">
        <v>176</v>
      </c>
      <c r="F357" s="2338" t="s">
        <v>2242</v>
      </c>
      <c r="G357" s="403" t="s">
        <v>2332</v>
      </c>
    </row>
    <row r="358" spans="1:7" ht="25.9" customHeight="1">
      <c r="A358" s="401">
        <v>355</v>
      </c>
      <c r="B358" s="929" t="s">
        <v>53</v>
      </c>
      <c r="C358" s="929" t="s">
        <v>1776</v>
      </c>
      <c r="D358" s="899" t="str">
        <f t="shared" si="5"/>
        <v xml:space="preserve">MOP - Nr.: </v>
      </c>
      <c r="E358" s="402" t="s">
        <v>1777</v>
      </c>
      <c r="F358" s="2338" t="s">
        <v>2243</v>
      </c>
      <c r="G358" s="403" t="s">
        <v>2810</v>
      </c>
    </row>
    <row r="359" spans="1:7" ht="25.9" customHeight="1">
      <c r="A359" s="401">
        <v>356</v>
      </c>
      <c r="B359" s="929" t="s">
        <v>53</v>
      </c>
      <c r="C359" s="929" t="s">
        <v>848</v>
      </c>
      <c r="D359" s="899" t="str">
        <f t="shared" si="5"/>
        <v>Gebäudeadresse:</v>
      </c>
      <c r="E359" s="402" t="s">
        <v>1778</v>
      </c>
      <c r="F359" s="2338" t="s">
        <v>2244</v>
      </c>
      <c r="G359" s="403" t="s">
        <v>2333</v>
      </c>
    </row>
    <row r="360" spans="1:7" ht="25.9" customHeight="1">
      <c r="A360" s="401">
        <v>357</v>
      </c>
      <c r="B360" s="929" t="s">
        <v>706</v>
      </c>
      <c r="C360" s="929" t="s">
        <v>878</v>
      </c>
      <c r="D360" s="899" t="str">
        <f t="shared" si="5"/>
        <v>Grenzwert für Endenergiebedarf ohne PV</v>
      </c>
      <c r="E360" s="402" t="s">
        <v>1779</v>
      </c>
      <c r="F360" s="2338" t="s">
        <v>2245</v>
      </c>
      <c r="G360" s="403" t="s">
        <v>2334</v>
      </c>
    </row>
    <row r="361" spans="1:7" ht="25.9" customHeight="1">
      <c r="A361" s="401">
        <v>358</v>
      </c>
      <c r="B361" s="929" t="s">
        <v>706</v>
      </c>
      <c r="C361" s="929" t="s">
        <v>705</v>
      </c>
      <c r="D361" s="899" t="str">
        <f t="shared" si="5"/>
        <v>Grenzwert für Minergie-Kennzahl MKZ</v>
      </c>
      <c r="E361" s="402" t="s">
        <v>1780</v>
      </c>
      <c r="F361" s="2338" t="s">
        <v>2246</v>
      </c>
      <c r="G361" s="403" t="s">
        <v>2335</v>
      </c>
    </row>
    <row r="362" spans="1:7" ht="25.9" customHeight="1">
      <c r="A362" s="401">
        <v>359</v>
      </c>
      <c r="B362" s="929" t="s">
        <v>313</v>
      </c>
      <c r="C362" s="929" t="s">
        <v>1753</v>
      </c>
      <c r="D362" s="899" t="str">
        <f t="shared" si="5"/>
        <v xml:space="preserve"> - Abminderung Armaturen</v>
      </c>
      <c r="E362" s="402" t="s">
        <v>1820</v>
      </c>
      <c r="F362" s="2338" t="s">
        <v>2247</v>
      </c>
      <c r="G362" s="1393" t="s">
        <v>2338</v>
      </c>
    </row>
    <row r="363" spans="1:7" ht="25.9" customHeight="1">
      <c r="A363" s="401">
        <v>360</v>
      </c>
      <c r="B363" s="929" t="s">
        <v>313</v>
      </c>
      <c r="C363" s="929" t="s">
        <v>488</v>
      </c>
      <c r="D363" s="899" t="str">
        <f t="shared" si="5"/>
        <v xml:space="preserve"> - Abminderung Warmhaltung</v>
      </c>
      <c r="E363" s="402" t="s">
        <v>1821</v>
      </c>
      <c r="F363" s="2338" t="s">
        <v>2248</v>
      </c>
      <c r="G363" s="1393" t="s">
        <v>2339</v>
      </c>
    </row>
    <row r="364" spans="1:7" ht="25.9" customHeight="1">
      <c r="A364" s="401">
        <v>361</v>
      </c>
      <c r="B364" s="929" t="s">
        <v>313</v>
      </c>
      <c r="C364" s="929" t="s">
        <v>868</v>
      </c>
      <c r="D364" s="899" t="str">
        <f t="shared" si="5"/>
        <v>Elektrizität</v>
      </c>
      <c r="E364" s="402" t="s">
        <v>1702</v>
      </c>
      <c r="F364" s="2338" t="s">
        <v>2249</v>
      </c>
      <c r="G364" s="403" t="s">
        <v>1454</v>
      </c>
    </row>
    <row r="365" spans="1:7" ht="25.9" customHeight="1">
      <c r="A365" s="401">
        <v>362</v>
      </c>
      <c r="B365" s="929" t="s">
        <v>313</v>
      </c>
      <c r="C365" s="929" t="s">
        <v>870</v>
      </c>
      <c r="D365" s="899" t="str">
        <f t="shared" si="5"/>
        <v>Angaben für Wohnungsnutzung:</v>
      </c>
      <c r="E365" s="402" t="s">
        <v>1705</v>
      </c>
      <c r="F365" s="2338" t="s">
        <v>2250</v>
      </c>
      <c r="G365" s="403" t="s">
        <v>2336</v>
      </c>
    </row>
    <row r="366" spans="1:7" ht="25.9" customHeight="1">
      <c r="A366" s="401">
        <v>363</v>
      </c>
      <c r="B366" s="929" t="s">
        <v>313</v>
      </c>
      <c r="C366" s="929" t="s">
        <v>1765</v>
      </c>
      <c r="D366" s="899" t="str">
        <f t="shared" si="5"/>
        <v>Aufzugsanlage / Lift vorhanden?</v>
      </c>
      <c r="E366" s="402" t="s">
        <v>1994</v>
      </c>
      <c r="F366" s="2338" t="s">
        <v>2251</v>
      </c>
      <c r="G366" s="403" t="s">
        <v>2337</v>
      </c>
    </row>
    <row r="367" spans="1:7" ht="25.9" customHeight="1">
      <c r="A367" s="401">
        <v>364</v>
      </c>
      <c r="B367" s="929" t="s">
        <v>313</v>
      </c>
      <c r="C367" s="929" t="s">
        <v>97</v>
      </c>
      <c r="D367" s="899" t="str">
        <f t="shared" si="5"/>
        <v>Alle Geschirrspüler mind. Klasse C</v>
      </c>
      <c r="E367" s="402" t="s">
        <v>4012</v>
      </c>
      <c r="F367" s="2338" t="s">
        <v>4013</v>
      </c>
      <c r="G367" s="403" t="s">
        <v>4014</v>
      </c>
    </row>
    <row r="368" spans="1:7" ht="25.9" customHeight="1">
      <c r="A368" s="401">
        <v>365</v>
      </c>
      <c r="B368" s="929" t="s">
        <v>313</v>
      </c>
      <c r="C368" s="929" t="s">
        <v>98</v>
      </c>
      <c r="D368" s="899" t="str">
        <f t="shared" si="5"/>
        <v>Alle Kühlschränke mind. Klasse D</v>
      </c>
      <c r="E368" s="402" t="s">
        <v>4015</v>
      </c>
      <c r="F368" s="2338" t="s">
        <v>4016</v>
      </c>
      <c r="G368" s="403" t="s">
        <v>4017</v>
      </c>
    </row>
    <row r="369" spans="1:7" ht="25.9" customHeight="1">
      <c r="A369" s="401">
        <v>366</v>
      </c>
      <c r="B369" s="929" t="s">
        <v>313</v>
      </c>
      <c r="C369" s="929" t="s">
        <v>1793</v>
      </c>
      <c r="D369" s="899" t="str">
        <f t="shared" si="5"/>
        <v>Alle Gefrierschränke mind. Klasse E</v>
      </c>
      <c r="E369" s="402" t="s">
        <v>4006</v>
      </c>
      <c r="F369" s="2338" t="s">
        <v>4004</v>
      </c>
      <c r="G369" s="403" t="s">
        <v>4005</v>
      </c>
    </row>
    <row r="370" spans="1:7" ht="25.9" customHeight="1">
      <c r="A370" s="401">
        <v>367</v>
      </c>
      <c r="B370" s="929" t="s">
        <v>313</v>
      </c>
      <c r="C370" s="929" t="s">
        <v>438</v>
      </c>
      <c r="D370" s="899" t="str">
        <f t="shared" si="5"/>
        <v>Alle Waschmaschinen mind. Klasse C</v>
      </c>
      <c r="E370" s="402" t="s">
        <v>4007</v>
      </c>
      <c r="F370" s="2338" t="s">
        <v>4008</v>
      </c>
      <c r="G370" s="403" t="s">
        <v>4009</v>
      </c>
    </row>
    <row r="371" spans="1:7" ht="25.9" customHeight="1">
      <c r="A371" s="401">
        <v>368</v>
      </c>
      <c r="B371" s="929" t="s">
        <v>313</v>
      </c>
      <c r="C371" s="929" t="s">
        <v>380</v>
      </c>
      <c r="D371" s="899" t="str">
        <f t="shared" si="5"/>
        <v>Alle Wäschetrockner Klasse A+++</v>
      </c>
      <c r="E371" s="402" t="s">
        <v>1703</v>
      </c>
      <c r="F371" s="2338" t="s">
        <v>2252</v>
      </c>
      <c r="G371" s="403" t="s">
        <v>2340</v>
      </c>
    </row>
    <row r="372" spans="1:7" ht="25.9" customHeight="1">
      <c r="A372" s="401">
        <v>369</v>
      </c>
      <c r="B372" s="929" t="s">
        <v>313</v>
      </c>
      <c r="C372" s="929" t="s">
        <v>487</v>
      </c>
      <c r="D372" s="899" t="str">
        <f t="shared" si="5"/>
        <v>Alles Induktionskochherde</v>
      </c>
      <c r="E372" s="402" t="s">
        <v>1704</v>
      </c>
      <c r="F372" s="2338" t="s">
        <v>2253</v>
      </c>
      <c r="G372" s="403" t="s">
        <v>2341</v>
      </c>
    </row>
    <row r="373" spans="1:7" ht="25.9" customHeight="1">
      <c r="A373" s="401">
        <v>370</v>
      </c>
      <c r="B373" s="929" t="s">
        <v>313</v>
      </c>
      <c r="C373" s="929" t="s">
        <v>873</v>
      </c>
      <c r="D373" s="899" t="str">
        <f t="shared" si="5"/>
        <v>Beleuchtung LED mind. C &amp; Regelung</v>
      </c>
      <c r="E373" s="402" t="s">
        <v>4625</v>
      </c>
      <c r="F373" s="2338" t="s">
        <v>4627</v>
      </c>
      <c r="G373" s="403" t="s">
        <v>4626</v>
      </c>
    </row>
    <row r="374" spans="1:7" ht="25.9" customHeight="1">
      <c r="A374" s="401">
        <v>371</v>
      </c>
      <c r="B374" s="929" t="s">
        <v>313</v>
      </c>
      <c r="C374" s="929" t="s">
        <v>878</v>
      </c>
      <c r="D374" s="899" t="str">
        <f t="shared" si="5"/>
        <v>Übrige Nutzungen: Angaben zur Beleuchtung</v>
      </c>
      <c r="E374" s="402" t="s">
        <v>1794</v>
      </c>
      <c r="F374" s="2338" t="s">
        <v>2254</v>
      </c>
      <c r="G374" s="403" t="s">
        <v>2342</v>
      </c>
    </row>
    <row r="375" spans="1:7" ht="25.9" customHeight="1">
      <c r="A375" s="401">
        <v>372</v>
      </c>
      <c r="B375" s="929" t="s">
        <v>313</v>
      </c>
      <c r="C375" s="929" t="s">
        <v>842</v>
      </c>
      <c r="D375" s="899" t="str">
        <f t="shared" si="5"/>
        <v>Zusatzangaben für den</v>
      </c>
      <c r="E375" s="402" t="s">
        <v>1708</v>
      </c>
      <c r="F375" s="2338" t="s">
        <v>2255</v>
      </c>
      <c r="G375" s="403" t="s">
        <v>2343</v>
      </c>
    </row>
    <row r="376" spans="1:7" ht="25.9" customHeight="1">
      <c r="A376" s="401">
        <v>373</v>
      </c>
      <c r="B376" s="929" t="s">
        <v>313</v>
      </c>
      <c r="C376" s="929" t="s">
        <v>843</v>
      </c>
      <c r="D376" s="899" t="str">
        <f t="shared" si="5"/>
        <v>Minergie-Nachweis</v>
      </c>
      <c r="E376" s="402" t="s">
        <v>2764</v>
      </c>
      <c r="F376" s="2338" t="s">
        <v>2765</v>
      </c>
      <c r="G376" s="403" t="s">
        <v>2344</v>
      </c>
    </row>
    <row r="377" spans="1:7" ht="25.9" customHeight="1">
      <c r="A377" s="401">
        <v>374</v>
      </c>
      <c r="B377" s="929" t="s">
        <v>313</v>
      </c>
      <c r="C377" s="929" t="s">
        <v>880</v>
      </c>
      <c r="D377" s="899" t="str">
        <f t="shared" si="5"/>
        <v xml:space="preserve">Leuchten: Minergie-Modul/Lichtausbe. &gt;100 lm/W </v>
      </c>
      <c r="E377" s="402" t="s">
        <v>2766</v>
      </c>
      <c r="F377" s="2338" t="s">
        <v>2256</v>
      </c>
      <c r="G377" s="403" t="s">
        <v>2803</v>
      </c>
    </row>
    <row r="378" spans="1:7" ht="25.9" customHeight="1">
      <c r="A378" s="401">
        <v>375</v>
      </c>
      <c r="B378" s="929" t="s">
        <v>313</v>
      </c>
      <c r="C378" s="929" t="s">
        <v>1768</v>
      </c>
      <c r="D378" s="899" t="str">
        <f t="shared" si="5"/>
        <v>Lichtsteuerung Präsenz-/ Tageslichtsensor</v>
      </c>
      <c r="E378" s="402" t="s">
        <v>2767</v>
      </c>
      <c r="F378" s="2338" t="s">
        <v>2257</v>
      </c>
      <c r="G378" s="403" t="s">
        <v>2768</v>
      </c>
    </row>
    <row r="379" spans="1:7" ht="25.9" customHeight="1">
      <c r="A379" s="401">
        <v>376</v>
      </c>
      <c r="B379" s="929" t="s">
        <v>313</v>
      </c>
      <c r="C379" s="929" t="s">
        <v>1063</v>
      </c>
      <c r="D379" s="899" t="str">
        <f t="shared" si="5"/>
        <v>Photovoltaik-Anlage</v>
      </c>
      <c r="E379" s="402" t="s">
        <v>1706</v>
      </c>
      <c r="F379" s="2338" t="s">
        <v>1594</v>
      </c>
      <c r="G379" s="403" t="s">
        <v>2345</v>
      </c>
    </row>
    <row r="380" spans="1:7" ht="25.9" customHeight="1">
      <c r="A380" s="401">
        <v>377</v>
      </c>
      <c r="B380" s="929" t="s">
        <v>313</v>
      </c>
      <c r="C380" s="929" t="s">
        <v>1843</v>
      </c>
      <c r="D380" s="899" t="str">
        <f t="shared" si="5"/>
        <v>Jahresertrag [kWh/m2]</v>
      </c>
      <c r="E380" s="402" t="s">
        <v>1707</v>
      </c>
      <c r="F380" s="2338" t="s">
        <v>2258</v>
      </c>
      <c r="G380" s="403" t="s">
        <v>2346</v>
      </c>
    </row>
    <row r="381" spans="1:7" ht="25.9" customHeight="1">
      <c r="A381" s="401">
        <v>378</v>
      </c>
      <c r="B381" s="929" t="s">
        <v>53</v>
      </c>
      <c r="C381" s="929" t="s">
        <v>2079</v>
      </c>
      <c r="D381" s="899" t="str">
        <f t="shared" si="5"/>
        <v>Eigenverbrauchsrate [%]</v>
      </c>
      <c r="E381" s="402" t="s">
        <v>2612</v>
      </c>
      <c r="F381" s="2338" t="s">
        <v>2259</v>
      </c>
      <c r="G381" s="403" t="s">
        <v>2347</v>
      </c>
    </row>
    <row r="382" spans="1:7" ht="25.9" customHeight="1">
      <c r="A382" s="401">
        <v>379</v>
      </c>
      <c r="B382" s="929" t="s">
        <v>53</v>
      </c>
      <c r="C382" s="929" t="s">
        <v>937</v>
      </c>
      <c r="D382" s="899" t="str">
        <f t="shared" si="5"/>
        <v>Installierte Leistung (ohne WKK)  [kWp]</v>
      </c>
      <c r="E382" s="402" t="s">
        <v>2608</v>
      </c>
      <c r="F382" s="2338" t="s">
        <v>2609</v>
      </c>
      <c r="G382" s="403" t="s">
        <v>2474</v>
      </c>
    </row>
    <row r="383" spans="1:7" ht="25.9" customHeight="1">
      <c r="A383" s="401">
        <v>380</v>
      </c>
      <c r="B383" s="929" t="s">
        <v>313</v>
      </c>
      <c r="C383" s="929" t="s">
        <v>941</v>
      </c>
      <c r="D383" s="899" t="str">
        <f t="shared" si="5"/>
        <v>Netto-Jahresertrag [kWh/kWp] (Berechnung beilegen)</v>
      </c>
      <c r="E383" s="402" t="s">
        <v>1148</v>
      </c>
      <c r="F383" s="2338" t="s">
        <v>2260</v>
      </c>
      <c r="G383" s="403" t="s">
        <v>2348</v>
      </c>
    </row>
    <row r="384" spans="1:7" ht="25.9" customHeight="1">
      <c r="A384" s="401">
        <v>381</v>
      </c>
      <c r="B384" s="929" t="s">
        <v>313</v>
      </c>
      <c r="C384" s="929" t="s">
        <v>1842</v>
      </c>
      <c r="D384" s="899" t="str">
        <f t="shared" si="5"/>
        <v>Weitere Anforderungen</v>
      </c>
      <c r="E384" s="402" t="s">
        <v>1813</v>
      </c>
      <c r="F384" s="2338" t="s">
        <v>2261</v>
      </c>
      <c r="G384" s="403" t="s">
        <v>2349</v>
      </c>
    </row>
    <row r="385" spans="1:7" ht="25.9" customHeight="1">
      <c r="A385" s="401">
        <v>382</v>
      </c>
      <c r="B385" s="929" t="s">
        <v>313</v>
      </c>
      <c r="C385" s="929" t="s">
        <v>1841</v>
      </c>
      <c r="D385" s="899" t="str">
        <f t="shared" si="5"/>
        <v>Selbstdeklaration/Bestätigung</v>
      </c>
      <c r="E385" s="402" t="s">
        <v>84</v>
      </c>
      <c r="F385" s="2338" t="s">
        <v>2262</v>
      </c>
      <c r="G385" s="403" t="s">
        <v>2350</v>
      </c>
    </row>
    <row r="386" spans="1:7" ht="25.9" customHeight="1">
      <c r="A386" s="401">
        <v>383</v>
      </c>
      <c r="B386" s="929" t="s">
        <v>5027</v>
      </c>
      <c r="C386" s="929" t="s">
        <v>5028</v>
      </c>
      <c r="D386" s="899" t="str">
        <f t="shared" si="5"/>
        <v xml:space="preserve">Anforderung erfüllt?    </v>
      </c>
      <c r="E386" s="402" t="s">
        <v>2902</v>
      </c>
      <c r="F386" s="2338" t="s">
        <v>2900</v>
      </c>
      <c r="G386" s="403" t="s">
        <v>2901</v>
      </c>
    </row>
    <row r="387" spans="1:7" ht="25.9" customHeight="1">
      <c r="A387" s="401">
        <v>384</v>
      </c>
      <c r="B387" s="929" t="s">
        <v>313</v>
      </c>
      <c r="C387" s="929" t="s">
        <v>1840</v>
      </c>
      <c r="D387" s="899" t="str">
        <f t="shared" si="5"/>
        <v>Anforderung</v>
      </c>
      <c r="E387" s="402" t="s">
        <v>494</v>
      </c>
      <c r="F387" s="2338" t="s">
        <v>2263</v>
      </c>
      <c r="G387" s="403" t="s">
        <v>2351</v>
      </c>
    </row>
    <row r="388" spans="1:7" ht="25.9" customHeight="1">
      <c r="A388" s="401">
        <v>385</v>
      </c>
      <c r="B388" s="929" t="s">
        <v>313</v>
      </c>
      <c r="C388" s="929" t="s">
        <v>1839</v>
      </c>
      <c r="D388" s="899" t="str">
        <f t="shared" si="5"/>
        <v>Objektwert</v>
      </c>
      <c r="E388" s="402" t="s">
        <v>166</v>
      </c>
      <c r="F388" s="2338" t="s">
        <v>2264</v>
      </c>
      <c r="G388" s="403" t="s">
        <v>2352</v>
      </c>
    </row>
    <row r="389" spans="1:7" ht="25.9" customHeight="1">
      <c r="A389" s="401">
        <v>386</v>
      </c>
      <c r="B389" s="929" t="s">
        <v>622</v>
      </c>
      <c r="C389" s="929" t="s">
        <v>1798</v>
      </c>
      <c r="D389" s="899" t="str">
        <f t="shared" ref="D389:D452" si="6">INDEX($E$4:$G$503,$A389,$A$1)</f>
        <v>Luftdichtheit der Hüllfläche</v>
      </c>
      <c r="E389" s="402" t="s">
        <v>2605</v>
      </c>
      <c r="F389" s="2338" t="s">
        <v>2606</v>
      </c>
      <c r="G389" s="403" t="s">
        <v>2607</v>
      </c>
    </row>
    <row r="390" spans="1:7" ht="25.9" customHeight="1">
      <c r="A390" s="401">
        <v>387</v>
      </c>
      <c r="B390" s="929" t="s">
        <v>622</v>
      </c>
      <c r="C390" s="929" t="s">
        <v>1799</v>
      </c>
      <c r="D390" s="899" t="str">
        <f t="shared" si="6"/>
        <v>Luftdichtheit der Hüllfläche, Erneuerung</v>
      </c>
      <c r="E390" s="402" t="s">
        <v>2466</v>
      </c>
      <c r="F390" s="2338" t="s">
        <v>2265</v>
      </c>
      <c r="G390" s="403" t="s">
        <v>2353</v>
      </c>
    </row>
    <row r="391" spans="1:7" ht="25.9" customHeight="1">
      <c r="A391" s="401">
        <v>388</v>
      </c>
      <c r="B391" s="929" t="s">
        <v>313</v>
      </c>
      <c r="C391" s="929" t="s">
        <v>872</v>
      </c>
      <c r="D391" s="899" t="str">
        <f t="shared" si="6"/>
        <v>Effiziente Geräte für Gebäudebetrieb</v>
      </c>
      <c r="E391" s="402" t="s">
        <v>3955</v>
      </c>
      <c r="F391" s="2338" t="s">
        <v>4010</v>
      </c>
      <c r="G391" s="403" t="s">
        <v>4011</v>
      </c>
    </row>
    <row r="392" spans="1:7" ht="25.9" customHeight="1">
      <c r="A392" s="401">
        <v>389</v>
      </c>
      <c r="B392" s="929" t="s">
        <v>622</v>
      </c>
      <c r="C392" s="929" t="s">
        <v>1800</v>
      </c>
      <c r="D392" s="899" t="str">
        <f t="shared" si="6"/>
        <v>Warmwasser</v>
      </c>
      <c r="E392" s="402" t="s">
        <v>244</v>
      </c>
      <c r="F392" s="2338" t="s">
        <v>1643</v>
      </c>
      <c r="G392" s="403" t="s">
        <v>2354</v>
      </c>
    </row>
    <row r="393" spans="1:7" ht="25.9" customHeight="1">
      <c r="A393" s="401">
        <v>390</v>
      </c>
      <c r="B393" s="929" t="s">
        <v>622</v>
      </c>
      <c r="C393" s="929" t="s">
        <v>1801</v>
      </c>
      <c r="D393" s="899" t="str">
        <f t="shared" si="6"/>
        <v>Abwärme aus gewerblicher Kälte</v>
      </c>
      <c r="E393" s="402" t="s">
        <v>195</v>
      </c>
      <c r="F393" s="2338" t="s">
        <v>2266</v>
      </c>
      <c r="G393" s="403" t="s">
        <v>2355</v>
      </c>
    </row>
    <row r="394" spans="1:7" ht="25.9" customHeight="1">
      <c r="A394" s="401">
        <v>391</v>
      </c>
      <c r="B394" s="929" t="s">
        <v>622</v>
      </c>
      <c r="C394" s="929" t="s">
        <v>1802</v>
      </c>
      <c r="D394" s="899" t="str">
        <f t="shared" si="6"/>
        <v>Abwärme</v>
      </c>
      <c r="E394" s="402" t="s">
        <v>38</v>
      </c>
      <c r="F394" s="2338" t="s">
        <v>2267</v>
      </c>
      <c r="G394" s="403" t="s">
        <v>2356</v>
      </c>
    </row>
    <row r="395" spans="1:7" ht="25.9" customHeight="1">
      <c r="A395" s="401">
        <v>392</v>
      </c>
      <c r="B395" s="929" t="s">
        <v>622</v>
      </c>
      <c r="C395" s="929" t="s">
        <v>1804</v>
      </c>
      <c r="D395" s="899" t="str">
        <f t="shared" si="6"/>
        <v>Nutzung der Abwärme</v>
      </c>
      <c r="E395" s="402" t="s">
        <v>1803</v>
      </c>
      <c r="F395" s="2338" t="s">
        <v>2268</v>
      </c>
      <c r="G395" s="403" t="s">
        <v>2357</v>
      </c>
    </row>
    <row r="396" spans="1:7" ht="25.9" customHeight="1">
      <c r="A396" s="401">
        <v>393</v>
      </c>
      <c r="B396" s="929" t="s">
        <v>622</v>
      </c>
      <c r="C396" s="929" t="s">
        <v>1805</v>
      </c>
      <c r="D396" s="899" t="str">
        <f t="shared" si="6"/>
        <v>Optimierter Betrieb Hallenbad</v>
      </c>
      <c r="E396" s="402" t="s">
        <v>167</v>
      </c>
      <c r="F396" s="2338" t="s">
        <v>2269</v>
      </c>
      <c r="G396" s="403" t="s">
        <v>2358</v>
      </c>
    </row>
    <row r="397" spans="1:7" ht="25.9" customHeight="1">
      <c r="A397" s="401">
        <v>394</v>
      </c>
      <c r="B397" s="929" t="s">
        <v>622</v>
      </c>
      <c r="C397" s="929" t="s">
        <v>1801</v>
      </c>
      <c r="D397" s="899" t="str">
        <f t="shared" si="6"/>
        <v>Einsatz erneuerbarer Energien</v>
      </c>
      <c r="E397" s="402" t="s">
        <v>1929</v>
      </c>
      <c r="F397" s="2338" t="s">
        <v>2270</v>
      </c>
      <c r="G397" s="403" t="s">
        <v>2359</v>
      </c>
    </row>
    <row r="398" spans="1:7" ht="25.9" customHeight="1">
      <c r="A398" s="401">
        <v>395</v>
      </c>
      <c r="B398" s="929" t="s">
        <v>622</v>
      </c>
      <c r="C398" s="929" t="s">
        <v>1928</v>
      </c>
      <c r="D398" s="899" t="str">
        <f t="shared" si="6"/>
        <v>Fällt Abwärme an?</v>
      </c>
      <c r="E398" s="402" t="s">
        <v>37</v>
      </c>
      <c r="F398" s="2338" t="s">
        <v>2271</v>
      </c>
      <c r="G398" s="403" t="s">
        <v>2360</v>
      </c>
    </row>
    <row r="399" spans="1:7" ht="25.9" customHeight="1">
      <c r="A399" s="401">
        <v>396</v>
      </c>
      <c r="B399" s="929" t="s">
        <v>622</v>
      </c>
      <c r="C399" s="929" t="s">
        <v>1806</v>
      </c>
      <c r="D399" s="899" t="str">
        <f t="shared" si="6"/>
        <v>20% mit erneuerbarer Energie gedeckt?</v>
      </c>
      <c r="E399" s="402" t="s">
        <v>1917</v>
      </c>
      <c r="F399" s="2338" t="s">
        <v>2272</v>
      </c>
      <c r="G399" s="403" t="s">
        <v>2361</v>
      </c>
    </row>
    <row r="400" spans="1:7" ht="25.9" customHeight="1">
      <c r="A400" s="401">
        <v>397</v>
      </c>
      <c r="B400" s="929" t="s">
        <v>622</v>
      </c>
      <c r="C400" s="929" t="s">
        <v>1807</v>
      </c>
      <c r="D400" s="899" t="str">
        <f t="shared" si="6"/>
        <v>Luftdichtheit qa,50 &lt; 1.2 m3/(h*m2)</v>
      </c>
      <c r="E400" s="402" t="s">
        <v>2467</v>
      </c>
      <c r="F400" s="2338" t="s">
        <v>2273</v>
      </c>
      <c r="G400" s="403" t="s">
        <v>2362</v>
      </c>
    </row>
    <row r="401" spans="1:7" ht="25.9" customHeight="1">
      <c r="A401" s="401">
        <v>398</v>
      </c>
      <c r="B401" s="929" t="s">
        <v>622</v>
      </c>
      <c r="C401" s="929" t="s">
        <v>1807</v>
      </c>
      <c r="D401" s="899" t="str">
        <f t="shared" si="6"/>
        <v>Luftdichtheit qa,50 &lt; 0.8 m3/(h*m2)</v>
      </c>
      <c r="E401" s="402" t="s">
        <v>2468</v>
      </c>
      <c r="F401" s="2338" t="s">
        <v>2274</v>
      </c>
      <c r="G401" s="403" t="s">
        <v>2363</v>
      </c>
    </row>
    <row r="402" spans="1:7" ht="25.9" customHeight="1">
      <c r="A402" s="401">
        <v>399</v>
      </c>
      <c r="B402" s="929" t="s">
        <v>622</v>
      </c>
      <c r="C402" s="929" t="s">
        <v>1809</v>
      </c>
      <c r="D402" s="899" t="str">
        <f t="shared" si="6"/>
        <v>Wird die Abwärme genutzt?</v>
      </c>
      <c r="E402" s="402" t="s">
        <v>1808</v>
      </c>
      <c r="F402" s="2338" t="s">
        <v>2275</v>
      </c>
      <c r="G402" s="403" t="s">
        <v>2364</v>
      </c>
    </row>
    <row r="403" spans="1:7" ht="25.9" customHeight="1">
      <c r="A403" s="401">
        <v>400</v>
      </c>
      <c r="B403" s="929" t="s">
        <v>622</v>
      </c>
      <c r="C403" s="929" t="s">
        <v>1810</v>
      </c>
      <c r="D403" s="899" t="str">
        <f t="shared" si="6"/>
        <v>WRG mit WP bei Lüftung, WRG aus Badwasser</v>
      </c>
      <c r="E403" s="402" t="s">
        <v>528</v>
      </c>
      <c r="F403" s="2338" t="s">
        <v>2276</v>
      </c>
      <c r="G403" s="403" t="s">
        <v>2365</v>
      </c>
    </row>
    <row r="404" spans="1:7" ht="25.9" customHeight="1">
      <c r="A404" s="401">
        <v>401</v>
      </c>
      <c r="B404" s="929" t="s">
        <v>622</v>
      </c>
      <c r="C404" s="929" t="s">
        <v>1047</v>
      </c>
      <c r="D404" s="899" t="str">
        <f t="shared" si="6"/>
        <v>Luftdichtheit qa,50 &lt; 1.6 m3/(h*m2)</v>
      </c>
      <c r="E404" s="402" t="s">
        <v>2469</v>
      </c>
      <c r="F404" s="2338" t="s">
        <v>2277</v>
      </c>
      <c r="G404" s="403" t="s">
        <v>2366</v>
      </c>
    </row>
    <row r="405" spans="1:7" ht="25.9" customHeight="1">
      <c r="A405" s="401">
        <v>402</v>
      </c>
      <c r="B405" s="929" t="s">
        <v>622</v>
      </c>
      <c r="C405" s="929" t="s">
        <v>1927</v>
      </c>
      <c r="D405" s="899" t="str">
        <f t="shared" si="6"/>
        <v>Maximal 30% fossile Spitzenlast?</v>
      </c>
      <c r="E405" s="402" t="s">
        <v>1930</v>
      </c>
      <c r="F405" s="2338" t="s">
        <v>2278</v>
      </c>
      <c r="G405" s="403" t="s">
        <v>2367</v>
      </c>
    </row>
    <row r="406" spans="1:7" ht="25.9" customHeight="1">
      <c r="A406" s="401">
        <v>403</v>
      </c>
      <c r="B406" s="929" t="s">
        <v>622</v>
      </c>
      <c r="C406" s="929" t="s">
        <v>1807</v>
      </c>
      <c r="D406" s="899" t="str">
        <f t="shared" si="6"/>
        <v>Konzept Lufdichtheit beigelegt?</v>
      </c>
      <c r="E406" s="402" t="s">
        <v>2904</v>
      </c>
      <c r="F406" s="2338" t="s">
        <v>2903</v>
      </c>
      <c r="G406" s="403" t="s">
        <v>3456</v>
      </c>
    </row>
    <row r="407" spans="1:7" ht="25.9" customHeight="1">
      <c r="A407" s="401">
        <v>404</v>
      </c>
      <c r="B407" s="929" t="s">
        <v>313</v>
      </c>
      <c r="C407" s="929" t="s">
        <v>1795</v>
      </c>
      <c r="D407" s="899" t="str">
        <f t="shared" si="6"/>
        <v>Beleuchtung: Projektwert SIA 387/4 (ungew.)</v>
      </c>
      <c r="E407" s="402" t="s">
        <v>3302</v>
      </c>
      <c r="F407" s="2338" t="s">
        <v>3303</v>
      </c>
      <c r="G407" s="403" t="s">
        <v>3304</v>
      </c>
    </row>
    <row r="408" spans="1:7" ht="25.9" customHeight="1">
      <c r="A408" s="401">
        <v>405</v>
      </c>
      <c r="B408" s="929" t="s">
        <v>313</v>
      </c>
      <c r="C408" s="929" t="s">
        <v>933</v>
      </c>
      <c r="D408" s="899" t="str">
        <f t="shared" si="6"/>
        <v>Beleuchtung: Mittelwert SIA 387/4 (ungew.)</v>
      </c>
      <c r="E408" s="402" t="s">
        <v>3429</v>
      </c>
      <c r="F408" s="2338" t="s">
        <v>3430</v>
      </c>
      <c r="G408" s="403" t="s">
        <v>3431</v>
      </c>
    </row>
    <row r="409" spans="1:7" ht="25.9" customHeight="1">
      <c r="A409" s="401">
        <v>406</v>
      </c>
      <c r="B409" s="929" t="s">
        <v>313</v>
      </c>
      <c r="C409" s="929" t="s">
        <v>1838</v>
      </c>
      <c r="D409" s="899" t="str">
        <f t="shared" si="6"/>
        <v>Anforderung Beleuchtung eingehalten?</v>
      </c>
      <c r="E409" s="402" t="s">
        <v>1812</v>
      </c>
      <c r="F409" s="2338" t="s">
        <v>2279</v>
      </c>
      <c r="G409" s="403" t="s">
        <v>2368</v>
      </c>
    </row>
    <row r="410" spans="1:7" ht="25.9" customHeight="1">
      <c r="A410" s="401">
        <v>407</v>
      </c>
      <c r="B410" s="929" t="s">
        <v>313</v>
      </c>
      <c r="C410" s="929" t="s">
        <v>496</v>
      </c>
      <c r="D410" s="899" t="str">
        <f t="shared" si="6"/>
        <v>Anzahl Wohneinheiten</v>
      </c>
      <c r="E410" s="402" t="s">
        <v>2207</v>
      </c>
      <c r="F410" s="2338" t="s">
        <v>2475</v>
      </c>
      <c r="G410" s="403" t="s">
        <v>2473</v>
      </c>
    </row>
    <row r="411" spans="1:7" ht="25.9" customHeight="1">
      <c r="A411" s="401">
        <v>408</v>
      </c>
      <c r="B411" s="929" t="s">
        <v>313</v>
      </c>
      <c r="C411" s="929" t="s">
        <v>1755</v>
      </c>
      <c r="D411" s="899" t="str">
        <f t="shared" si="6"/>
        <v xml:space="preserve"> - Länge Warmhaltebänder</v>
      </c>
      <c r="E411" s="429" t="s">
        <v>1832</v>
      </c>
      <c r="F411" s="2338" t="s">
        <v>2280</v>
      </c>
      <c r="G411" s="1393" t="s">
        <v>2385</v>
      </c>
    </row>
    <row r="412" spans="1:7" ht="25.9" customHeight="1">
      <c r="A412" s="401">
        <v>409</v>
      </c>
      <c r="B412" s="929" t="s">
        <v>313</v>
      </c>
      <c r="C412" s="929" t="s">
        <v>879</v>
      </c>
      <c r="D412" s="899" t="str">
        <f t="shared" si="6"/>
        <v>Beleuchtung: Umfassende Sanierung?</v>
      </c>
      <c r="E412" s="402" t="s">
        <v>1837</v>
      </c>
      <c r="F412" s="2338" t="s">
        <v>2281</v>
      </c>
      <c r="G412" s="403" t="s">
        <v>2369</v>
      </c>
    </row>
    <row r="413" spans="1:7" ht="25.9" customHeight="1">
      <c r="A413" s="401">
        <v>410</v>
      </c>
      <c r="B413" s="929" t="s">
        <v>53</v>
      </c>
      <c r="C413" s="929" t="s">
        <v>1063</v>
      </c>
      <c r="D413" s="899" t="str">
        <f t="shared" si="6"/>
        <v>spezifischer Jahresertrag [kWh/kWp]</v>
      </c>
      <c r="E413" s="402" t="s">
        <v>2613</v>
      </c>
      <c r="F413" s="2338" t="s">
        <v>3063</v>
      </c>
      <c r="G413" s="403" t="s">
        <v>3064</v>
      </c>
    </row>
    <row r="414" spans="1:7" ht="25.9" customHeight="1">
      <c r="A414" s="401">
        <v>411</v>
      </c>
      <c r="B414" s="929" t="s">
        <v>53</v>
      </c>
      <c r="C414" s="929" t="s">
        <v>938</v>
      </c>
      <c r="D414" s="899" t="str">
        <f t="shared" si="6"/>
        <v>spezifische, installierte Leistung pro m2 EBF  [W/m2] :</v>
      </c>
      <c r="E414" s="402" t="s">
        <v>5009</v>
      </c>
      <c r="F414" s="2338" t="s">
        <v>5010</v>
      </c>
      <c r="G414" s="403" t="s">
        <v>5011</v>
      </c>
    </row>
    <row r="415" spans="1:7" ht="25.9" customHeight="1">
      <c r="A415" s="401">
        <v>412</v>
      </c>
      <c r="B415" s="929" t="s">
        <v>622</v>
      </c>
      <c r="C415" s="929" t="s">
        <v>1811</v>
      </c>
      <c r="D415" s="899" t="str">
        <f t="shared" si="6"/>
        <v>Grosse Eingriffe in  Gebäudetechnik?</v>
      </c>
      <c r="E415" s="402" t="s">
        <v>1934</v>
      </c>
      <c r="F415" s="2338" t="s">
        <v>2282</v>
      </c>
      <c r="G415" s="403" t="s">
        <v>2370</v>
      </c>
    </row>
    <row r="416" spans="1:7" ht="25.9" customHeight="1">
      <c r="A416" s="401">
        <v>413</v>
      </c>
      <c r="B416" s="929" t="s">
        <v>622</v>
      </c>
      <c r="C416" s="929" t="s">
        <v>1933</v>
      </c>
      <c r="D416" s="899" t="str">
        <f t="shared" si="6"/>
        <v>Monitoringkonzept</v>
      </c>
      <c r="E416" s="402" t="s">
        <v>1931</v>
      </c>
      <c r="F416" s="2338" t="s">
        <v>2283</v>
      </c>
      <c r="G416" s="403" t="s">
        <v>2371</v>
      </c>
    </row>
    <row r="417" spans="1:7" ht="25.9" customHeight="1">
      <c r="A417" s="401">
        <v>414</v>
      </c>
      <c r="B417" s="929" t="s">
        <v>622</v>
      </c>
      <c r="C417" s="929" t="s">
        <v>1936</v>
      </c>
      <c r="D417" s="899" t="str">
        <f t="shared" si="6"/>
        <v>Monitoring-Modul auf MOP gewählt oder Monitoringkonzept beigelegt?</v>
      </c>
      <c r="E417" s="402" t="s">
        <v>4758</v>
      </c>
      <c r="F417" s="2338" t="s">
        <v>2284</v>
      </c>
      <c r="G417" s="2230" t="s">
        <v>2372</v>
      </c>
    </row>
    <row r="418" spans="1:7" ht="25.9" customHeight="1">
      <c r="A418" s="401">
        <v>415</v>
      </c>
      <c r="B418" s="929" t="s">
        <v>1797</v>
      </c>
      <c r="C418" s="929" t="s">
        <v>1755</v>
      </c>
      <c r="D418" s="899" t="str">
        <f t="shared" si="6"/>
        <v>Projekt</v>
      </c>
      <c r="E418" s="402" t="s">
        <v>1881</v>
      </c>
      <c r="F418" s="2338" t="s">
        <v>2285</v>
      </c>
      <c r="G418" s="403" t="s">
        <v>2373</v>
      </c>
    </row>
    <row r="419" spans="1:7" ht="25.9" customHeight="1">
      <c r="A419" s="401">
        <v>416</v>
      </c>
      <c r="B419" s="929" t="s">
        <v>1797</v>
      </c>
      <c r="C419" s="929" t="s">
        <v>848</v>
      </c>
      <c r="D419" s="899" t="str">
        <f t="shared" si="6"/>
        <v>Anleitung</v>
      </c>
      <c r="E419" s="402" t="s">
        <v>1872</v>
      </c>
      <c r="F419" s="2338" t="s">
        <v>2286</v>
      </c>
      <c r="G419" s="403" t="s">
        <v>2374</v>
      </c>
    </row>
    <row r="420" spans="1:7" ht="45" customHeight="1">
      <c r="A420" s="401">
        <v>417</v>
      </c>
      <c r="B420" s="929" t="s">
        <v>1797</v>
      </c>
      <c r="C420" s="929" t="s">
        <v>1884</v>
      </c>
      <c r="D420" s="899" t="str">
        <f t="shared" si="6"/>
        <v xml:space="preserve">Dieses Nachweisformular dient zum Nachweis der Standards Minergie, Minergie-P und Minergie-A. Der entsprechende Standard </v>
      </c>
      <c r="E420" s="402" t="s">
        <v>1873</v>
      </c>
      <c r="F420" s="2338" t="s">
        <v>2796</v>
      </c>
      <c r="G420" s="403" t="s">
        <v>3457</v>
      </c>
    </row>
    <row r="421" spans="1:7" ht="42" customHeight="1">
      <c r="A421" s="401">
        <v>418</v>
      </c>
      <c r="B421" s="929" t="s">
        <v>1797</v>
      </c>
      <c r="C421" s="929" t="s">
        <v>1751</v>
      </c>
      <c r="D421" s="899" t="str">
        <f t="shared" si="6"/>
        <v>kann im Blatt "Eingabe" ausgewählt werden. Der ausgefüllte Nachweis wird auf der Minergie-Online-Plattform (MOP) hochgeladen.</v>
      </c>
      <c r="E421" s="402" t="s">
        <v>1874</v>
      </c>
      <c r="F421" s="2338" t="s">
        <v>2795</v>
      </c>
      <c r="G421" s="403" t="s">
        <v>2800</v>
      </c>
    </row>
    <row r="422" spans="1:7" ht="42.75" customHeight="1">
      <c r="A422" s="401">
        <v>419</v>
      </c>
      <c r="B422" s="929" t="s">
        <v>1797</v>
      </c>
      <c r="C422" s="929" t="s">
        <v>1047</v>
      </c>
      <c r="D422" s="899" t="str">
        <f t="shared" si="6"/>
        <v>Das Antragsformular wird nach der Einreichung auf der MOP automatisch generiert. Der unterschriebene Antrag, dieses Nachweis-</v>
      </c>
      <c r="E422" s="402" t="s">
        <v>1875</v>
      </c>
      <c r="F422" s="2338" t="s">
        <v>2797</v>
      </c>
      <c r="G422" s="403" t="s">
        <v>2802</v>
      </c>
    </row>
    <row r="423" spans="1:7" ht="45" customHeight="1">
      <c r="A423" s="401">
        <v>420</v>
      </c>
      <c r="B423" s="929" t="s">
        <v>1797</v>
      </c>
      <c r="C423" s="929" t="s">
        <v>1752</v>
      </c>
      <c r="D423" s="899" t="str">
        <f t="shared" si="6"/>
        <v>formular, sowie weitere auf dem Antrag vermerkte Unterlagen sind der zuständigen Zertifizierungsstelle schriftlich einzureichen.</v>
      </c>
      <c r="E423" s="402" t="s">
        <v>1876</v>
      </c>
      <c r="F423" s="2338" t="s">
        <v>2798</v>
      </c>
      <c r="G423" s="403" t="s">
        <v>2801</v>
      </c>
    </row>
    <row r="424" spans="1:7" ht="36" customHeight="1">
      <c r="A424" s="401">
        <v>421</v>
      </c>
      <c r="B424" s="929" t="s">
        <v>1797</v>
      </c>
      <c r="C424" s="929" t="s">
        <v>849</v>
      </c>
      <c r="D424" s="899" t="str">
        <f t="shared" si="6"/>
        <v>Folgende Farbcodierung ist beim Ausfüllen des Nachweisformulars zu beachten:</v>
      </c>
      <c r="E424" s="402" t="s">
        <v>1877</v>
      </c>
      <c r="F424" s="2338" t="s">
        <v>2799</v>
      </c>
      <c r="G424" s="403" t="s">
        <v>2375</v>
      </c>
    </row>
    <row r="425" spans="1:7" ht="25.9" customHeight="1">
      <c r="A425" s="401">
        <v>422</v>
      </c>
      <c r="B425" s="929" t="s">
        <v>1797</v>
      </c>
      <c r="C425" s="929" t="s">
        <v>854</v>
      </c>
      <c r="D425" s="899" t="str">
        <f t="shared" si="6"/>
        <v>Eingabefeld (Pflicht)</v>
      </c>
      <c r="E425" s="402" t="s">
        <v>1878</v>
      </c>
      <c r="F425" s="2338" t="s">
        <v>2287</v>
      </c>
      <c r="G425" s="403" t="s">
        <v>2376</v>
      </c>
    </row>
    <row r="426" spans="1:7" ht="25.9" customHeight="1">
      <c r="A426" s="401">
        <v>423</v>
      </c>
      <c r="B426" s="929" t="s">
        <v>1797</v>
      </c>
      <c r="C426" s="929" t="s">
        <v>1885</v>
      </c>
      <c r="D426" s="899" t="str">
        <f t="shared" si="6"/>
        <v>Eingabefeld (Fakultativ)</v>
      </c>
      <c r="E426" s="402" t="s">
        <v>1879</v>
      </c>
      <c r="F426" s="2338" t="s">
        <v>2288</v>
      </c>
      <c r="G426" s="403" t="s">
        <v>2377</v>
      </c>
    </row>
    <row r="427" spans="1:7" ht="25.9" customHeight="1">
      <c r="A427" s="401">
        <v>424</v>
      </c>
      <c r="B427" s="929" t="s">
        <v>1797</v>
      </c>
      <c r="C427" s="929" t="s">
        <v>1886</v>
      </c>
      <c r="D427" s="899" t="str">
        <f t="shared" si="6"/>
        <v>Auswahlfeld (Pflicht)</v>
      </c>
      <c r="E427" s="402" t="s">
        <v>1880</v>
      </c>
      <c r="F427" s="2338" t="s">
        <v>2289</v>
      </c>
      <c r="G427" s="403" t="s">
        <v>2378</v>
      </c>
    </row>
    <row r="428" spans="1:7" ht="25.9" customHeight="1">
      <c r="A428" s="401">
        <v>425</v>
      </c>
      <c r="B428" s="929" t="s">
        <v>1797</v>
      </c>
      <c r="C428" s="929" t="s">
        <v>866</v>
      </c>
      <c r="D428" s="899" t="str">
        <f t="shared" si="6"/>
        <v>Erfüllung der Hauptanforderung</v>
      </c>
      <c r="E428" s="402" t="s">
        <v>1882</v>
      </c>
      <c r="F428" s="2338" t="s">
        <v>2290</v>
      </c>
      <c r="G428" s="403" t="s">
        <v>2379</v>
      </c>
    </row>
    <row r="429" spans="1:7" ht="25.9" customHeight="1">
      <c r="A429" s="401">
        <v>426</v>
      </c>
      <c r="B429" s="929" t="s">
        <v>1797</v>
      </c>
      <c r="C429" s="929" t="s">
        <v>98</v>
      </c>
      <c r="D429" s="899" t="str">
        <f t="shared" si="6"/>
        <v>Erfüllung der Zusatzanforderungen</v>
      </c>
      <c r="E429" s="402" t="s">
        <v>2200</v>
      </c>
      <c r="F429" s="2338" t="s">
        <v>2291</v>
      </c>
      <c r="G429" s="403" t="s">
        <v>2380</v>
      </c>
    </row>
    <row r="430" spans="1:7" ht="25.9" customHeight="1">
      <c r="A430" s="401">
        <v>427</v>
      </c>
      <c r="B430" s="929" t="s">
        <v>1797</v>
      </c>
      <c r="C430" s="929" t="s">
        <v>868</v>
      </c>
      <c r="D430" s="899" t="str">
        <f t="shared" si="6"/>
        <v>Minergie-Kennzahl in kWh/m2</v>
      </c>
      <c r="E430" s="402" t="s">
        <v>1883</v>
      </c>
      <c r="F430" s="2338" t="s">
        <v>2292</v>
      </c>
      <c r="G430" s="403" t="s">
        <v>2381</v>
      </c>
    </row>
    <row r="431" spans="1:7" ht="25.9" customHeight="1">
      <c r="A431" s="401">
        <v>428</v>
      </c>
      <c r="B431" s="929" t="s">
        <v>1797</v>
      </c>
      <c r="C431" s="929" t="s">
        <v>513</v>
      </c>
      <c r="D431" s="899" t="str">
        <f t="shared" si="6"/>
        <v>Minergie-Kennzahl in kg CO2/m2</v>
      </c>
      <c r="E431" s="402" t="s">
        <v>2185</v>
      </c>
      <c r="F431" s="2338" t="s">
        <v>2293</v>
      </c>
      <c r="G431" s="2230" t="s">
        <v>2382</v>
      </c>
    </row>
    <row r="432" spans="1:7" ht="25.9" customHeight="1">
      <c r="A432" s="401">
        <v>429</v>
      </c>
      <c r="B432" s="929" t="s">
        <v>1797</v>
      </c>
      <c r="C432" s="929" t="s">
        <v>438</v>
      </c>
      <c r="D432" s="899" t="str">
        <f t="shared" si="6"/>
        <v>ZA1: Heizwärmebedarf in kWh/m2</v>
      </c>
      <c r="E432" s="402" t="s">
        <v>2769</v>
      </c>
      <c r="F432" s="2338" t="s">
        <v>2770</v>
      </c>
      <c r="G432" s="403" t="s">
        <v>2383</v>
      </c>
    </row>
    <row r="433" spans="1:7" ht="25.9" customHeight="1">
      <c r="A433" s="401">
        <v>430</v>
      </c>
      <c r="B433" s="929" t="s">
        <v>1797</v>
      </c>
      <c r="C433" s="929" t="s">
        <v>380</v>
      </c>
      <c r="D433" s="899" t="str">
        <f t="shared" si="6"/>
        <v>ZA2: Endenergie ohne PV in kWh/m2</v>
      </c>
      <c r="E433" s="402" t="s">
        <v>2771</v>
      </c>
      <c r="F433" s="2338" t="s">
        <v>2772</v>
      </c>
      <c r="G433" s="403" t="s">
        <v>2384</v>
      </c>
    </row>
    <row r="434" spans="1:7" ht="25.9" customHeight="1">
      <c r="A434" s="401">
        <v>431</v>
      </c>
      <c r="B434" s="929" t="s">
        <v>1797</v>
      </c>
      <c r="C434" s="929" t="s">
        <v>487</v>
      </c>
      <c r="D434" s="899" t="str">
        <f t="shared" si="6"/>
        <v>ZA3: Minergie-Grenzwert Beleuchtung in kWh/m2</v>
      </c>
      <c r="E434" s="402" t="s">
        <v>2773</v>
      </c>
      <c r="F434" s="2338" t="s">
        <v>2774</v>
      </c>
      <c r="G434" s="403" t="s">
        <v>4966</v>
      </c>
    </row>
    <row r="435" spans="1:7" ht="25.9" customHeight="1">
      <c r="A435" s="401">
        <v>432</v>
      </c>
      <c r="B435" s="929" t="s">
        <v>1797</v>
      </c>
      <c r="C435" s="929" t="s">
        <v>872</v>
      </c>
      <c r="D435" s="899" t="str">
        <f t="shared" si="6"/>
        <v>Visualisierung Minergie-Kennzahl (MKZ)</v>
      </c>
      <c r="E435" s="402" t="s">
        <v>2775</v>
      </c>
      <c r="F435" s="2338" t="s">
        <v>2294</v>
      </c>
      <c r="G435" s="403" t="s">
        <v>2386</v>
      </c>
    </row>
    <row r="436" spans="1:7" ht="25.9" customHeight="1">
      <c r="A436" s="401">
        <v>433</v>
      </c>
      <c r="B436" s="929" t="s">
        <v>1797</v>
      </c>
      <c r="C436" s="929" t="s">
        <v>1894</v>
      </c>
      <c r="D436" s="899" t="str">
        <f t="shared" si="6"/>
        <v>Heizung</v>
      </c>
      <c r="E436" s="402" t="s">
        <v>243</v>
      </c>
      <c r="F436" s="2338" t="s">
        <v>1642</v>
      </c>
      <c r="G436" s="403" t="s">
        <v>2387</v>
      </c>
    </row>
    <row r="437" spans="1:7" ht="25.9" customHeight="1">
      <c r="A437" s="401">
        <v>434</v>
      </c>
      <c r="B437" s="929" t="s">
        <v>1797</v>
      </c>
      <c r="C437" s="929" t="s">
        <v>1895</v>
      </c>
      <c r="D437" s="899" t="str">
        <f t="shared" si="6"/>
        <v>Warmwasser</v>
      </c>
      <c r="E437" s="402" t="s">
        <v>244</v>
      </c>
      <c r="F437" s="2338" t="s">
        <v>1643</v>
      </c>
      <c r="G437" s="403" t="s">
        <v>2354</v>
      </c>
    </row>
    <row r="438" spans="1:7" ht="25.9" customHeight="1">
      <c r="A438" s="401">
        <v>435</v>
      </c>
      <c r="B438" s="929" t="s">
        <v>1797</v>
      </c>
      <c r="C438" s="929" t="s">
        <v>1897</v>
      </c>
      <c r="D438" s="899" t="str">
        <f t="shared" si="6"/>
        <v>Beleuchtung</v>
      </c>
      <c r="E438" s="402" t="s">
        <v>696</v>
      </c>
      <c r="F438" s="2338" t="s">
        <v>2295</v>
      </c>
      <c r="G438" s="403" t="s">
        <v>2388</v>
      </c>
    </row>
    <row r="439" spans="1:7" ht="25.9" customHeight="1">
      <c r="A439" s="401">
        <v>436</v>
      </c>
      <c r="B439" s="929" t="s">
        <v>1797</v>
      </c>
      <c r="C439" s="929" t="s">
        <v>1898</v>
      </c>
      <c r="D439" s="899" t="str">
        <f t="shared" si="6"/>
        <v>Geräte</v>
      </c>
      <c r="E439" s="402" t="s">
        <v>1849</v>
      </c>
      <c r="F439" s="2338" t="s">
        <v>2296</v>
      </c>
      <c r="G439" s="403" t="s">
        <v>2389</v>
      </c>
    </row>
    <row r="440" spans="1:7" ht="25.9" customHeight="1">
      <c r="A440" s="401">
        <v>437</v>
      </c>
      <c r="B440" s="929" t="s">
        <v>1797</v>
      </c>
      <c r="C440" s="929" t="s">
        <v>1902</v>
      </c>
      <c r="D440" s="899" t="str">
        <f t="shared" si="6"/>
        <v>Allgemeine Gebäudetechnik</v>
      </c>
      <c r="E440" s="402" t="s">
        <v>1852</v>
      </c>
      <c r="F440" s="2338" t="s">
        <v>2614</v>
      </c>
      <c r="G440" s="403" t="s">
        <v>2390</v>
      </c>
    </row>
    <row r="441" spans="1:7" ht="25.9" customHeight="1">
      <c r="A441" s="401">
        <v>438</v>
      </c>
      <c r="B441" s="929" t="s">
        <v>1797</v>
      </c>
      <c r="C441" s="929" t="s">
        <v>1900</v>
      </c>
      <c r="D441" s="899" t="str">
        <f t="shared" si="6"/>
        <v>Endenergiebedarf</v>
      </c>
      <c r="E441" s="402" t="s">
        <v>1899</v>
      </c>
      <c r="F441" s="2338" t="s">
        <v>2297</v>
      </c>
      <c r="G441" s="403" t="s">
        <v>2391</v>
      </c>
    </row>
    <row r="442" spans="1:7" ht="25.9" customHeight="1">
      <c r="A442" s="401">
        <v>439</v>
      </c>
      <c r="B442" s="929" t="s">
        <v>1797</v>
      </c>
      <c r="C442" s="929" t="s">
        <v>1901</v>
      </c>
      <c r="D442" s="899" t="str">
        <f t="shared" si="6"/>
        <v>MKZ berechneter Wert</v>
      </c>
      <c r="E442" s="402" t="s">
        <v>2776</v>
      </c>
      <c r="F442" s="2338" t="s">
        <v>3568</v>
      </c>
      <c r="G442" s="403" t="s">
        <v>3569</v>
      </c>
    </row>
    <row r="443" spans="1:7" ht="25.9" customHeight="1">
      <c r="A443" s="401">
        <v>440</v>
      </c>
      <c r="B443" s="929" t="s">
        <v>1797</v>
      </c>
      <c r="C443" s="929" t="s">
        <v>1896</v>
      </c>
      <c r="D443" s="899" t="str">
        <f t="shared" si="6"/>
        <v>Wohnstrom</v>
      </c>
      <c r="E443" s="402" t="s">
        <v>3047</v>
      </c>
      <c r="F443" s="2338" t="s">
        <v>3048</v>
      </c>
      <c r="G443" s="403" t="s">
        <v>3049</v>
      </c>
    </row>
    <row r="444" spans="1:7" ht="25.9" customHeight="1">
      <c r="A444" s="401">
        <v>441</v>
      </c>
      <c r="B444" s="929" t="s">
        <v>1797</v>
      </c>
      <c r="C444" s="929" t="s">
        <v>1903</v>
      </c>
      <c r="D444" s="899" t="str">
        <f t="shared" si="6"/>
        <v>PV Eigenverbrauch</v>
      </c>
      <c r="E444" s="402" t="s">
        <v>1912</v>
      </c>
      <c r="F444" s="2338" t="s">
        <v>2615</v>
      </c>
      <c r="G444" s="403" t="s">
        <v>2392</v>
      </c>
    </row>
    <row r="445" spans="1:7" ht="25.9" customHeight="1">
      <c r="A445" s="401">
        <v>442</v>
      </c>
      <c r="B445" s="929" t="s">
        <v>1797</v>
      </c>
      <c r="C445" s="929" t="s">
        <v>1904</v>
      </c>
      <c r="D445" s="899" t="str">
        <f t="shared" si="6"/>
        <v>PV Anteil Einspeisung</v>
      </c>
      <c r="E445" s="402" t="s">
        <v>1913</v>
      </c>
      <c r="F445" s="2338" t="s">
        <v>2616</v>
      </c>
      <c r="G445" s="403" t="s">
        <v>2393</v>
      </c>
    </row>
    <row r="446" spans="1:7" ht="25.9" customHeight="1">
      <c r="A446" s="401">
        <v>443</v>
      </c>
      <c r="B446" s="929" t="s">
        <v>1797</v>
      </c>
      <c r="C446" s="929" t="s">
        <v>1908</v>
      </c>
      <c r="D446" s="899" t="str">
        <f t="shared" si="6"/>
        <v>Bedarf</v>
      </c>
      <c r="E446" s="402" t="s">
        <v>1907</v>
      </c>
      <c r="F446" s="2338" t="s">
        <v>2298</v>
      </c>
      <c r="G446" s="403" t="s">
        <v>2394</v>
      </c>
    </row>
    <row r="447" spans="1:7" ht="25.9" customHeight="1">
      <c r="A447" s="401">
        <v>444</v>
      </c>
      <c r="B447" s="929" t="s">
        <v>1797</v>
      </c>
      <c r="C447" s="929" t="s">
        <v>1905</v>
      </c>
      <c r="D447" s="899" t="str">
        <f t="shared" si="6"/>
        <v>Optimierungspotential</v>
      </c>
      <c r="E447" s="402" t="s">
        <v>1909</v>
      </c>
      <c r="F447" s="2338" t="s">
        <v>2299</v>
      </c>
      <c r="G447" s="403" t="s">
        <v>2395</v>
      </c>
    </row>
    <row r="448" spans="1:7" ht="25.9" customHeight="1">
      <c r="A448" s="401">
        <v>445</v>
      </c>
      <c r="B448" s="929" t="s">
        <v>1797</v>
      </c>
      <c r="C448" s="929" t="s">
        <v>1906</v>
      </c>
      <c r="D448" s="899" t="str">
        <f t="shared" si="6"/>
        <v>Grenzwert Minergie</v>
      </c>
      <c r="E448" s="402" t="s">
        <v>2777</v>
      </c>
      <c r="F448" s="2338" t="s">
        <v>2778</v>
      </c>
      <c r="G448" s="403" t="s">
        <v>2396</v>
      </c>
    </row>
    <row r="449" spans="1:7" ht="25.9" customHeight="1">
      <c r="A449" s="401">
        <v>446</v>
      </c>
      <c r="B449" s="929" t="s">
        <v>1797</v>
      </c>
      <c r="C449" s="929" t="s">
        <v>1910</v>
      </c>
      <c r="D449" s="899" t="str">
        <f t="shared" si="6"/>
        <v>Bedarf</v>
      </c>
      <c r="E449" s="402" t="s">
        <v>1907</v>
      </c>
      <c r="F449" s="2338" t="s">
        <v>2298</v>
      </c>
      <c r="G449" s="403" t="s">
        <v>2394</v>
      </c>
    </row>
    <row r="450" spans="1:7" ht="25.9" customHeight="1">
      <c r="A450" s="401">
        <v>447</v>
      </c>
      <c r="B450" s="929" t="s">
        <v>1797</v>
      </c>
      <c r="C450" s="929" t="s">
        <v>1911</v>
      </c>
      <c r="D450" s="899" t="str">
        <f t="shared" si="6"/>
        <v>MKZ Anforderung</v>
      </c>
      <c r="E450" s="402" t="s">
        <v>2779</v>
      </c>
      <c r="F450" s="2338" t="s">
        <v>3570</v>
      </c>
      <c r="G450" s="403" t="s">
        <v>2397</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2211</v>
      </c>
      <c r="F451" s="2338" t="s">
        <v>2476</v>
      </c>
      <c r="G451" s="403" t="s">
        <v>2472</v>
      </c>
    </row>
    <row r="452" spans="1:7" ht="25.9" customHeight="1">
      <c r="A452" s="401">
        <v>449</v>
      </c>
      <c r="B452" s="929" t="s">
        <v>53</v>
      </c>
      <c r="C452" s="929" t="s">
        <v>1064</v>
      </c>
      <c r="D452" s="899" t="str">
        <f t="shared" si="6"/>
        <v>Minimale Grösse der Eigenstromerzeugung  [kWp]:</v>
      </c>
      <c r="E452" s="402" t="s">
        <v>5008</v>
      </c>
      <c r="F452" s="2338" t="s">
        <v>5023</v>
      </c>
      <c r="G452" s="403" t="s">
        <v>5024</v>
      </c>
    </row>
    <row r="453" spans="1:7" ht="42.75" customHeight="1">
      <c r="A453" s="401">
        <v>450</v>
      </c>
      <c r="B453" s="929" t="s">
        <v>313</v>
      </c>
      <c r="C453" s="929" t="s">
        <v>1915</v>
      </c>
      <c r="D453" s="899" t="str">
        <f t="shared" ref="D453:D503" si="7">INDEX($E$4:$G$503,$A453,$A$1)</f>
        <v>Gilt für Kategorien ‚Restaurants’, ‚Sportbauten’ und ‚Hallenbäder’:
20% mit erneuerbarer Energie erbringen.</v>
      </c>
      <c r="E453" s="402" t="s">
        <v>1916</v>
      </c>
      <c r="F453" s="2338" t="s">
        <v>2300</v>
      </c>
      <c r="G453" s="403" t="s">
        <v>2401</v>
      </c>
    </row>
    <row r="454" spans="1:7" ht="39.950000000000003" customHeight="1">
      <c r="A454" s="401">
        <v>451</v>
      </c>
      <c r="B454" s="929" t="s">
        <v>313</v>
      </c>
      <c r="C454" s="929" t="s">
        <v>1919</v>
      </c>
      <c r="D454" s="899" t="str">
        <f t="shared" si="7"/>
        <v>Gilt für Kategorie "Hallenbad"</v>
      </c>
      <c r="E454" s="402" t="s">
        <v>1918</v>
      </c>
      <c r="F454" s="2338" t="s">
        <v>2301</v>
      </c>
      <c r="G454" s="403" t="s">
        <v>2398</v>
      </c>
    </row>
    <row r="455" spans="1:7" ht="26.1" customHeight="1">
      <c r="A455" s="401">
        <v>452</v>
      </c>
      <c r="B455" s="929" t="s">
        <v>53</v>
      </c>
      <c r="C455" s="929" t="s">
        <v>940</v>
      </c>
      <c r="D455" s="899" t="str">
        <f t="shared" si="7"/>
        <v>Stromproduktion deckt Bedarf:</v>
      </c>
      <c r="E455" s="402" t="s">
        <v>2213</v>
      </c>
      <c r="F455" s="2338" t="s">
        <v>2477</v>
      </c>
      <c r="G455" s="403" t="s">
        <v>2478</v>
      </c>
    </row>
    <row r="456" spans="1:7" ht="25.9" customHeight="1">
      <c r="A456" s="401">
        <v>453</v>
      </c>
      <c r="B456" s="929" t="s">
        <v>313</v>
      </c>
      <c r="C456" s="929" t="s">
        <v>2081</v>
      </c>
      <c r="D456" s="899" t="str">
        <f t="shared" si="7"/>
        <v>Teilkennzahl
Bedarf</v>
      </c>
      <c r="E456" s="402" t="s">
        <v>2080</v>
      </c>
      <c r="F456" s="2338" t="s">
        <v>2302</v>
      </c>
      <c r="G456" s="403" t="s">
        <v>2402</v>
      </c>
    </row>
    <row r="457" spans="1:7" ht="25.9" customHeight="1">
      <c r="A457" s="401">
        <v>454</v>
      </c>
      <c r="B457" s="929" t="s">
        <v>313</v>
      </c>
      <c r="C457" s="929" t="s">
        <v>2082</v>
      </c>
      <c r="D457" s="899" t="str">
        <f t="shared" si="7"/>
        <v>Produktion
(gewichtet)</v>
      </c>
      <c r="E457" s="402" t="s">
        <v>2210</v>
      </c>
      <c r="F457" s="2338" t="s">
        <v>2303</v>
      </c>
      <c r="G457" s="403" t="s">
        <v>2403</v>
      </c>
    </row>
    <row r="458" spans="1:7" ht="25.9" customHeight="1">
      <c r="A458" s="401">
        <v>455</v>
      </c>
      <c r="B458" s="929" t="s">
        <v>1797</v>
      </c>
      <c r="C458" s="929" t="s">
        <v>2084</v>
      </c>
      <c r="D458" s="899" t="str">
        <f t="shared" si="7"/>
        <v>Anforderung PV (gewichtet)</v>
      </c>
      <c r="E458" s="402" t="s">
        <v>2083</v>
      </c>
      <c r="F458" s="2338" t="s">
        <v>2304</v>
      </c>
      <c r="G458" s="403" t="s">
        <v>2399</v>
      </c>
    </row>
    <row r="459" spans="1:7" ht="25.9" customHeight="1">
      <c r="A459" s="401">
        <v>456</v>
      </c>
      <c r="B459" s="929" t="s">
        <v>1797</v>
      </c>
      <c r="C459" s="929" t="s">
        <v>2086</v>
      </c>
      <c r="D459" s="899" t="str">
        <f t="shared" si="7"/>
        <v>Produktion PV (gewichtet)</v>
      </c>
      <c r="E459" s="402" t="s">
        <v>2085</v>
      </c>
      <c r="F459" s="2338" t="s">
        <v>2305</v>
      </c>
      <c r="G459" s="403" t="s">
        <v>2400</v>
      </c>
    </row>
    <row r="460" spans="1:7" ht="25.9" customHeight="1">
      <c r="A460" s="401">
        <v>457</v>
      </c>
      <c r="B460" s="929" t="s">
        <v>1797</v>
      </c>
      <c r="C460" s="929" t="s">
        <v>868</v>
      </c>
      <c r="D460" s="899" t="str">
        <f t="shared" si="7"/>
        <v>Teilkennzahl Minergie-A</v>
      </c>
      <c r="E460" s="402" t="s">
        <v>2780</v>
      </c>
      <c r="F460" s="2338" t="s">
        <v>2781</v>
      </c>
      <c r="G460" s="403" t="s">
        <v>2782</v>
      </c>
    </row>
    <row r="461" spans="1:7" ht="25.9" customHeight="1">
      <c r="A461" s="401">
        <v>458</v>
      </c>
      <c r="B461" s="929" t="s">
        <v>1797</v>
      </c>
      <c r="C461" s="929" t="s">
        <v>513</v>
      </c>
      <c r="D461" s="899" t="str">
        <f t="shared" si="7"/>
        <v>Minergie-A: Bedarf MKZ (ohne PV)  durch PV gedeckt?</v>
      </c>
      <c r="E461" s="402" t="s">
        <v>2783</v>
      </c>
      <c r="F461" s="2338" t="s">
        <v>2306</v>
      </c>
      <c r="G461" s="403" t="s">
        <v>2784</v>
      </c>
    </row>
    <row r="462" spans="1:7" ht="25.9" customHeight="1">
      <c r="A462" s="401">
        <v>459</v>
      </c>
      <c r="B462" s="929" t="s">
        <v>1797</v>
      </c>
      <c r="C462" s="929" t="s">
        <v>2187</v>
      </c>
      <c r="D462" s="899" t="str">
        <f t="shared" si="7"/>
        <v>Keine Anforderungen</v>
      </c>
      <c r="E462" s="402" t="s">
        <v>2186</v>
      </c>
      <c r="F462" s="2338" t="s">
        <v>2479</v>
      </c>
      <c r="G462" s="403" t="s">
        <v>2470</v>
      </c>
    </row>
    <row r="463" spans="1:7" ht="25.9" customHeight="1">
      <c r="A463" s="401">
        <v>460</v>
      </c>
      <c r="B463" s="929" t="s">
        <v>53</v>
      </c>
      <c r="C463" s="929" t="s">
        <v>1838</v>
      </c>
      <c r="D463" s="899" t="str">
        <f t="shared" si="7"/>
        <v>Eigenstromerzeugung</v>
      </c>
      <c r="E463" s="402" t="s">
        <v>2206</v>
      </c>
      <c r="F463" s="2338" t="s">
        <v>2480</v>
      </c>
      <c r="G463" s="403" t="s">
        <v>2471</v>
      </c>
    </row>
    <row r="464" spans="1:7" ht="25.9" customHeight="1">
      <c r="A464" s="401">
        <v>461</v>
      </c>
      <c r="B464" s="929" t="s">
        <v>1797</v>
      </c>
      <c r="C464" s="929" t="s">
        <v>871</v>
      </c>
      <c r="D464" s="899" t="str">
        <f t="shared" si="7"/>
        <v>Höchstanteil fossiler Energie</v>
      </c>
      <c r="E464" s="402" t="s">
        <v>2538</v>
      </c>
      <c r="F464" s="2338" t="s">
        <v>2548</v>
      </c>
      <c r="G464" s="403" t="s">
        <v>2549</v>
      </c>
    </row>
    <row r="465" spans="1:7" ht="25.9" customHeight="1">
      <c r="A465" s="401">
        <v>462</v>
      </c>
      <c r="B465" s="929" t="s">
        <v>1797</v>
      </c>
      <c r="C465" s="929" t="s">
        <v>878</v>
      </c>
      <c r="D465" s="899" t="str">
        <f t="shared" si="7"/>
        <v>Stromproduktion deckt Bedarf:</v>
      </c>
      <c r="E465" s="402" t="s">
        <v>2213</v>
      </c>
      <c r="F465" s="2338" t="s">
        <v>2477</v>
      </c>
      <c r="G465" s="403" t="s">
        <v>2478</v>
      </c>
    </row>
    <row r="466" spans="1:7" ht="25.9" customHeight="1">
      <c r="A466" s="401">
        <v>463</v>
      </c>
      <c r="B466" s="929" t="s">
        <v>622</v>
      </c>
      <c r="C466" s="929" t="s">
        <v>2537</v>
      </c>
      <c r="D466" s="899" t="str">
        <f t="shared" si="7"/>
        <v>Warmhaltebänder</v>
      </c>
      <c r="E466" s="402" t="s">
        <v>3575</v>
      </c>
      <c r="F466" s="2338" t="s">
        <v>2532</v>
      </c>
      <c r="G466" s="403" t="s">
        <v>2533</v>
      </c>
    </row>
    <row r="467" spans="1:7" ht="25.9" customHeight="1">
      <c r="A467" s="401">
        <v>464</v>
      </c>
      <c r="B467" s="929" t="s">
        <v>313</v>
      </c>
      <c r="C467" s="929" t="s">
        <v>854</v>
      </c>
      <c r="D467" s="899" t="str">
        <f t="shared" si="7"/>
        <v>Warmwasser, Rechenwert</v>
      </c>
      <c r="E467" s="402" t="s">
        <v>2542</v>
      </c>
      <c r="F467" s="2338" t="s">
        <v>2543</v>
      </c>
      <c r="G467" s="403" t="s">
        <v>2544</v>
      </c>
    </row>
    <row r="468" spans="1:7" ht="25.9" customHeight="1">
      <c r="A468" s="401">
        <v>465</v>
      </c>
      <c r="B468" s="929" t="s">
        <v>313</v>
      </c>
      <c r="C468" s="929" t="s">
        <v>1753</v>
      </c>
      <c r="D468" s="899" t="str">
        <f t="shared" si="7"/>
        <v>Warmwasser, SIA 385</v>
      </c>
      <c r="E468" s="402" t="s">
        <v>2545</v>
      </c>
      <c r="F468" s="2338" t="s">
        <v>2546</v>
      </c>
      <c r="G468" s="403" t="s">
        <v>2547</v>
      </c>
    </row>
    <row r="469" spans="1:7" ht="25.9" customHeight="1">
      <c r="A469" s="401">
        <v>466</v>
      </c>
      <c r="B469" s="929" t="s">
        <v>313</v>
      </c>
      <c r="C469" s="929" t="s">
        <v>853</v>
      </c>
      <c r="D469" s="899" t="str">
        <f t="shared" si="7"/>
        <v>unbekannter Mieterausbau</v>
      </c>
      <c r="E469" s="402" t="s">
        <v>2564</v>
      </c>
      <c r="F469" s="2338" t="s">
        <v>2785</v>
      </c>
      <c r="G469" s="403" t="s">
        <v>2786</v>
      </c>
    </row>
    <row r="470" spans="1:7" ht="25.9" customHeight="1">
      <c r="A470" s="401">
        <v>467</v>
      </c>
      <c r="B470" s="929" t="s">
        <v>1797</v>
      </c>
      <c r="C470" s="929" t="s">
        <v>1897</v>
      </c>
      <c r="D470" s="899" t="str">
        <f t="shared" si="7"/>
        <v>Lüftung + Klima</v>
      </c>
      <c r="E470" s="402" t="s">
        <v>2593</v>
      </c>
      <c r="F470" s="2338" t="s">
        <v>2617</v>
      </c>
      <c r="G470" s="403" t="s">
        <v>2787</v>
      </c>
    </row>
    <row r="471" spans="1:7" ht="36" customHeight="1">
      <c r="A471" s="401">
        <v>468</v>
      </c>
      <c r="B471" s="929" t="s">
        <v>1797</v>
      </c>
      <c r="C471" s="929" t="s">
        <v>2601</v>
      </c>
      <c r="D471" s="899" t="str">
        <f t="shared" si="7"/>
        <v xml:space="preserve">   Produktion PV</v>
      </c>
      <c r="E471" s="429" t="s">
        <v>2896</v>
      </c>
      <c r="F471" s="1394" t="s">
        <v>2897</v>
      </c>
      <c r="G471" s="1393" t="s">
        <v>2898</v>
      </c>
    </row>
    <row r="472" spans="1:7" ht="25.9" customHeight="1">
      <c r="A472" s="401">
        <v>469</v>
      </c>
      <c r="B472" s="929" t="s">
        <v>1797</v>
      </c>
      <c r="C472" s="929" t="s">
        <v>2602</v>
      </c>
      <c r="D472" s="899" t="str">
        <f t="shared" si="7"/>
        <v xml:space="preserve">           Objektwert
 </v>
      </c>
      <c r="E472" s="429" t="s">
        <v>2895</v>
      </c>
      <c r="F472" s="1394" t="s">
        <v>2899</v>
      </c>
      <c r="G472" s="1393" t="s">
        <v>2894</v>
      </c>
    </row>
    <row r="473" spans="1:7" ht="25.9" customHeight="1">
      <c r="A473" s="401">
        <v>470</v>
      </c>
      <c r="B473" s="929" t="s">
        <v>1797</v>
      </c>
      <c r="C473" s="929" t="s">
        <v>2603</v>
      </c>
      <c r="D473" s="899" t="str">
        <f t="shared" si="7"/>
        <v>PV nicht anrechenbar</v>
      </c>
      <c r="E473" s="402" t="s">
        <v>2594</v>
      </c>
      <c r="F473" s="2338" t="s">
        <v>2791</v>
      </c>
      <c r="G473" s="403" t="s">
        <v>2788</v>
      </c>
    </row>
    <row r="474" spans="1:7" ht="25.9" customHeight="1">
      <c r="A474" s="401">
        <v>471</v>
      </c>
      <c r="B474" s="929" t="s">
        <v>622</v>
      </c>
      <c r="C474" s="929" t="s">
        <v>1807</v>
      </c>
      <c r="D474" s="899" t="str">
        <f t="shared" si="7"/>
        <v>Konzept Lufdichtheit und Messkonzept beigelegt?</v>
      </c>
      <c r="E474" s="402" t="s">
        <v>2905</v>
      </c>
      <c r="F474" s="2338" t="s">
        <v>2906</v>
      </c>
      <c r="G474" s="403" t="s">
        <v>2907</v>
      </c>
    </row>
    <row r="475" spans="1:7" ht="25.9" customHeight="1">
      <c r="A475" s="401">
        <v>472</v>
      </c>
      <c r="B475" s="929" t="s">
        <v>53</v>
      </c>
      <c r="C475" s="929" t="s">
        <v>5029</v>
      </c>
      <c r="D475" s="899" t="str">
        <f t="shared" si="7"/>
        <v>Grösse Batterie [kWh]</v>
      </c>
      <c r="E475" s="402" t="s">
        <v>2610</v>
      </c>
      <c r="F475" s="2338" t="s">
        <v>2792</v>
      </c>
      <c r="G475" s="403" t="s">
        <v>2789</v>
      </c>
    </row>
    <row r="476" spans="1:7" ht="25.9" customHeight="1">
      <c r="A476" s="401">
        <v>473</v>
      </c>
      <c r="B476" s="929" t="s">
        <v>313</v>
      </c>
      <c r="C476" s="929" t="s">
        <v>1065</v>
      </c>
      <c r="D476" s="899" t="str">
        <f t="shared" si="7"/>
        <v>Batterie-verluste [%]:</v>
      </c>
      <c r="E476" s="402" t="s">
        <v>2611</v>
      </c>
      <c r="F476" s="2338" t="s">
        <v>2793</v>
      </c>
      <c r="G476" s="403" t="s">
        <v>2790</v>
      </c>
    </row>
    <row r="477" spans="1:7" ht="40.5" customHeight="1">
      <c r="A477" s="401">
        <v>474</v>
      </c>
      <c r="B477" s="929" t="s">
        <v>1797</v>
      </c>
      <c r="C477" s="929" t="s">
        <v>2701</v>
      </c>
      <c r="D477" s="899" t="str">
        <f t="shared" si="7"/>
        <v xml:space="preserve">                                          E HWLK,li  +
                             Standardbedarf Elektrizität
  </v>
      </c>
      <c r="E477" s="1510" t="s">
        <v>2891</v>
      </c>
      <c r="F477" s="2338" t="s">
        <v>2892</v>
      </c>
      <c r="G477" s="403" t="s">
        <v>2893</v>
      </c>
    </row>
    <row r="478" spans="1:7" ht="25.9" customHeight="1">
      <c r="A478" s="401">
        <v>475</v>
      </c>
      <c r="B478" s="929" t="s">
        <v>706</v>
      </c>
      <c r="C478" s="929" t="s">
        <v>1076</v>
      </c>
      <c r="D478" s="899" t="str">
        <f t="shared" si="7"/>
        <v>Minergie-Kennzahl (MKZ)</v>
      </c>
      <c r="E478" s="402" t="s">
        <v>1690</v>
      </c>
      <c r="F478" s="2338" t="s">
        <v>2794</v>
      </c>
      <c r="G478" s="403" t="s">
        <v>2710</v>
      </c>
    </row>
    <row r="479" spans="1:7" ht="25.9" customHeight="1">
      <c r="A479" s="401">
        <v>476</v>
      </c>
      <c r="B479" s="929" t="s">
        <v>1797</v>
      </c>
      <c r="C479" s="929" t="s">
        <v>2738</v>
      </c>
      <c r="D479" s="899" t="str">
        <f t="shared" si="7"/>
        <v>MKZ</v>
      </c>
      <c r="E479" s="402" t="s">
        <v>2711</v>
      </c>
      <c r="F479" s="2338" t="s">
        <v>2711</v>
      </c>
      <c r="G479" s="403" t="s">
        <v>2712</v>
      </c>
    </row>
    <row r="480" spans="1:7" ht="25.9" customHeight="1">
      <c r="A480" s="401">
        <v>477</v>
      </c>
      <c r="B480" s="929" t="s">
        <v>1797</v>
      </c>
      <c r="C480" s="929" t="s">
        <v>2713</v>
      </c>
      <c r="D480" s="899" t="str">
        <f t="shared" si="7"/>
        <v>H</v>
      </c>
      <c r="E480" s="402" t="s">
        <v>2714</v>
      </c>
      <c r="F480" s="2338" t="s">
        <v>2714</v>
      </c>
      <c r="G480" s="403" t="s">
        <v>2715</v>
      </c>
    </row>
    <row r="481" spans="1:7" ht="25.9" customHeight="1">
      <c r="A481" s="401">
        <v>478</v>
      </c>
      <c r="B481" s="929" t="s">
        <v>1797</v>
      </c>
      <c r="C481" s="929" t="s">
        <v>2716</v>
      </c>
      <c r="D481" s="899" t="str">
        <f t="shared" si="7"/>
        <v>ww</v>
      </c>
      <c r="E481" s="402" t="s">
        <v>525</v>
      </c>
      <c r="F481" s="2338" t="s">
        <v>525</v>
      </c>
      <c r="G481" s="403" t="s">
        <v>2717</v>
      </c>
    </row>
    <row r="482" spans="1:7" ht="25.9" customHeight="1">
      <c r="A482" s="401">
        <v>479</v>
      </c>
      <c r="B482" s="929" t="s">
        <v>1797</v>
      </c>
      <c r="C482" s="929" t="s">
        <v>2719</v>
      </c>
      <c r="D482" s="899" t="str">
        <f t="shared" si="7"/>
        <v>LK</v>
      </c>
      <c r="E482" s="402" t="s">
        <v>2720</v>
      </c>
      <c r="F482" s="2338" t="s">
        <v>2720</v>
      </c>
      <c r="G482" s="403" t="s">
        <v>2718</v>
      </c>
    </row>
    <row r="483" spans="1:7" ht="25.9" customHeight="1">
      <c r="A483" s="401">
        <v>480</v>
      </c>
      <c r="B483" s="929" t="s">
        <v>1797</v>
      </c>
      <c r="C483" s="929" t="s">
        <v>2723</v>
      </c>
      <c r="D483" s="899" t="str">
        <f t="shared" si="7"/>
        <v>el,wohn.</v>
      </c>
      <c r="E483" s="402" t="s">
        <v>2722</v>
      </c>
      <c r="F483" s="2338" t="s">
        <v>2722</v>
      </c>
      <c r="G483" s="403" t="s">
        <v>2721</v>
      </c>
    </row>
    <row r="484" spans="1:7" ht="25.9" customHeight="1">
      <c r="A484" s="401">
        <v>481</v>
      </c>
      <c r="B484" s="929" t="s">
        <v>1797</v>
      </c>
      <c r="C484" s="929" t="s">
        <v>2724</v>
      </c>
      <c r="D484" s="899" t="str">
        <f t="shared" si="7"/>
        <v>Bel</v>
      </c>
      <c r="E484" s="402" t="s">
        <v>2725</v>
      </c>
      <c r="F484" s="2338" t="s">
        <v>2725</v>
      </c>
      <c r="G484" s="403" t="s">
        <v>2726</v>
      </c>
    </row>
    <row r="485" spans="1:7" ht="25.9" customHeight="1">
      <c r="A485" s="401">
        <v>482</v>
      </c>
      <c r="B485" s="929" t="s">
        <v>1797</v>
      </c>
      <c r="C485" s="929" t="s">
        <v>2733</v>
      </c>
      <c r="D485" s="899" t="str">
        <f t="shared" si="7"/>
        <v>Geräte</v>
      </c>
      <c r="E485" s="402" t="s">
        <v>1849</v>
      </c>
      <c r="F485" s="2338" t="s">
        <v>1849</v>
      </c>
      <c r="G485" s="403" t="s">
        <v>2727</v>
      </c>
    </row>
    <row r="486" spans="1:7" ht="25.9" customHeight="1">
      <c r="A486" s="401">
        <v>483</v>
      </c>
      <c r="B486" s="929" t="s">
        <v>1797</v>
      </c>
      <c r="C486" s="929" t="s">
        <v>2734</v>
      </c>
      <c r="D486" s="899" t="str">
        <f t="shared" si="7"/>
        <v>AGT</v>
      </c>
      <c r="E486" s="402" t="s">
        <v>2728</v>
      </c>
      <c r="F486" s="2338" t="s">
        <v>2728</v>
      </c>
      <c r="G486" s="403" t="s">
        <v>2729</v>
      </c>
    </row>
    <row r="487" spans="1:7" ht="25.9" customHeight="1">
      <c r="A487" s="401">
        <v>484</v>
      </c>
      <c r="B487" s="929" t="s">
        <v>1797</v>
      </c>
      <c r="C487" s="929" t="s">
        <v>2732</v>
      </c>
      <c r="D487" s="899" t="str">
        <f t="shared" si="7"/>
        <v>EB</v>
      </c>
      <c r="E487" s="402" t="s">
        <v>2730</v>
      </c>
      <c r="F487" s="2338" t="s">
        <v>2730</v>
      </c>
      <c r="G487" s="403" t="s">
        <v>2731</v>
      </c>
    </row>
    <row r="488" spans="1:7" ht="25.9" customHeight="1">
      <c r="A488" s="401">
        <v>485</v>
      </c>
      <c r="B488" s="929" t="s">
        <v>1797</v>
      </c>
      <c r="C488" s="929" t="s">
        <v>2737</v>
      </c>
      <c r="D488" s="899" t="str">
        <f t="shared" si="7"/>
        <v>Netz</v>
      </c>
      <c r="E488" s="402" t="s">
        <v>2735</v>
      </c>
      <c r="F488" s="2338" t="s">
        <v>2735</v>
      </c>
      <c r="G488" s="403" t="s">
        <v>2736</v>
      </c>
    </row>
    <row r="489" spans="1:7" ht="25.9" customHeight="1">
      <c r="A489" s="401">
        <v>486</v>
      </c>
      <c r="B489" s="929" t="s">
        <v>2967</v>
      </c>
      <c r="C489" s="929" t="s">
        <v>2968</v>
      </c>
      <c r="D489" s="899" t="str">
        <f t="shared" si="7"/>
        <v>Übertrag in das Rechentool PVopti</v>
      </c>
      <c r="E489" s="402" t="s">
        <v>2955</v>
      </c>
      <c r="F489" s="2338" t="s">
        <v>3157</v>
      </c>
      <c r="G489" s="403" t="s">
        <v>3158</v>
      </c>
    </row>
    <row r="490" spans="1:7" ht="25.9" customHeight="1">
      <c r="A490" s="401">
        <v>487</v>
      </c>
      <c r="B490" s="929" t="s">
        <v>2967</v>
      </c>
      <c r="C490" s="929" t="s">
        <v>2969</v>
      </c>
      <c r="D490" s="899" t="str">
        <f t="shared" si="7"/>
        <v>Bitte den gelben Bereich kopieren und als Inhalt in PVopti einfügen:</v>
      </c>
      <c r="E490" s="402" t="s">
        <v>2954</v>
      </c>
      <c r="F490" s="2338" t="s">
        <v>3159</v>
      </c>
      <c r="G490" s="403" t="s">
        <v>3160</v>
      </c>
    </row>
    <row r="491" spans="1:7" ht="25.9" customHeight="1">
      <c r="A491" s="401">
        <v>488</v>
      </c>
      <c r="B491" s="929" t="s">
        <v>2967</v>
      </c>
      <c r="C491" s="929" t="s">
        <v>2970</v>
      </c>
      <c r="D491" s="899" t="str">
        <f t="shared" si="7"/>
        <v>MOP-Nr.: / Projektname: / Gebäudeadresse:</v>
      </c>
      <c r="E491" s="402" t="s">
        <v>2935</v>
      </c>
      <c r="F491" s="2338" t="s">
        <v>3161</v>
      </c>
      <c r="G491" s="403" t="s">
        <v>3162</v>
      </c>
    </row>
    <row r="492" spans="1:7" ht="25.9" customHeight="1">
      <c r="A492" s="401">
        <v>489</v>
      </c>
      <c r="B492" s="929" t="s">
        <v>2967</v>
      </c>
      <c r="C492" s="929" t="s">
        <v>2971</v>
      </c>
      <c r="D492" s="899" t="str">
        <f t="shared" si="7"/>
        <v xml:space="preserve">Parz.-Nr.:   / Klimastation: / Gebäudestandort: </v>
      </c>
      <c r="E492" s="402" t="s">
        <v>2936</v>
      </c>
      <c r="F492" s="2338" t="s">
        <v>3163</v>
      </c>
      <c r="G492" s="403" t="s">
        <v>3164</v>
      </c>
    </row>
    <row r="493" spans="1:7" ht="25.9" customHeight="1">
      <c r="A493" s="401">
        <v>490</v>
      </c>
      <c r="B493" s="929" t="s">
        <v>2967</v>
      </c>
      <c r="C493" s="929" t="s">
        <v>2972</v>
      </c>
      <c r="D493" s="899" t="str">
        <f t="shared" si="7"/>
        <v>Wärmeerzeuger</v>
      </c>
      <c r="E493" s="402" t="s">
        <v>2929</v>
      </c>
      <c r="F493" s="2338" t="s">
        <v>3165</v>
      </c>
      <c r="G493" s="403" t="s">
        <v>3166</v>
      </c>
    </row>
    <row r="494" spans="1:7" ht="25.9" customHeight="1">
      <c r="A494" s="401">
        <v>491</v>
      </c>
      <c r="B494" s="929" t="s">
        <v>2967</v>
      </c>
      <c r="C494" s="929" t="s">
        <v>2973</v>
      </c>
      <c r="D494" s="899" t="str">
        <f t="shared" si="7"/>
        <v>Erz. A</v>
      </c>
      <c r="E494" s="402" t="s">
        <v>2930</v>
      </c>
      <c r="F494" s="2338" t="s">
        <v>3167</v>
      </c>
      <c r="G494" s="403" t="s">
        <v>3168</v>
      </c>
    </row>
    <row r="495" spans="1:7" ht="25.9" customHeight="1">
      <c r="A495" s="401">
        <v>492</v>
      </c>
      <c r="B495" s="929" t="s">
        <v>2967</v>
      </c>
      <c r="C495" s="929" t="s">
        <v>2974</v>
      </c>
      <c r="D495" s="899" t="str">
        <f t="shared" si="7"/>
        <v>Erz. B</v>
      </c>
      <c r="E495" s="402" t="s">
        <v>2931</v>
      </c>
      <c r="F495" s="2338" t="s">
        <v>3169</v>
      </c>
      <c r="G495" s="403" t="s">
        <v>3169</v>
      </c>
    </row>
    <row r="496" spans="1:7" ht="25.9" customHeight="1">
      <c r="A496" s="401">
        <v>493</v>
      </c>
      <c r="B496" s="929" t="s">
        <v>2967</v>
      </c>
      <c r="C496" s="929" t="s">
        <v>2975</v>
      </c>
      <c r="D496" s="899" t="str">
        <f t="shared" si="7"/>
        <v>Erz. C</v>
      </c>
      <c r="E496" s="402" t="s">
        <v>2932</v>
      </c>
      <c r="F496" s="2338" t="s">
        <v>3170</v>
      </c>
      <c r="G496" s="403" t="s">
        <v>3170</v>
      </c>
    </row>
    <row r="497" spans="1:7" ht="25.9" customHeight="1">
      <c r="A497" s="401">
        <v>494</v>
      </c>
      <c r="B497" s="929" t="s">
        <v>2967</v>
      </c>
      <c r="C497" s="929" t="s">
        <v>2976</v>
      </c>
      <c r="D497" s="899" t="str">
        <f t="shared" si="7"/>
        <v>Erz. D</v>
      </c>
      <c r="E497" s="402" t="s">
        <v>2933</v>
      </c>
      <c r="F497" s="2338" t="s">
        <v>3171</v>
      </c>
      <c r="G497" s="403" t="s">
        <v>3171</v>
      </c>
    </row>
    <row r="498" spans="1:7" ht="25.9" customHeight="1">
      <c r="A498" s="401">
        <v>495</v>
      </c>
      <c r="B498" s="929" t="s">
        <v>2967</v>
      </c>
      <c r="C498" s="929" t="s">
        <v>2977</v>
      </c>
      <c r="D498" s="899" t="str">
        <f t="shared" si="7"/>
        <v>Nutzbare Kapazität (kWh)</v>
      </c>
      <c r="E498" s="402" t="s">
        <v>2937</v>
      </c>
      <c r="F498" s="2338" t="s">
        <v>3172</v>
      </c>
      <c r="G498" s="403" t="s">
        <v>3173</v>
      </c>
    </row>
    <row r="499" spans="1:7" ht="25.9" customHeight="1">
      <c r="A499" s="401">
        <v>496</v>
      </c>
      <c r="B499" s="929" t="s">
        <v>2967</v>
      </c>
      <c r="C499" s="929" t="s">
        <v>2978</v>
      </c>
      <c r="D499" s="899" t="str">
        <f t="shared" si="7"/>
        <v>Zone</v>
      </c>
      <c r="E499" s="402" t="s">
        <v>312</v>
      </c>
      <c r="F499" s="2338" t="s">
        <v>312</v>
      </c>
      <c r="G499" s="403" t="s">
        <v>3174</v>
      </c>
    </row>
    <row r="500" spans="1:7" ht="25.9" customHeight="1">
      <c r="A500" s="401">
        <v>497</v>
      </c>
      <c r="B500" s="929" t="s">
        <v>2967</v>
      </c>
      <c r="C500" s="929" t="s">
        <v>2979</v>
      </c>
      <c r="D500" s="899" t="str">
        <f t="shared" si="7"/>
        <v>Gebäudekategorie</v>
      </c>
      <c r="E500" s="402" t="s">
        <v>331</v>
      </c>
      <c r="F500" s="2338" t="s">
        <v>3175</v>
      </c>
      <c r="G500" s="403" t="s">
        <v>3176</v>
      </c>
    </row>
    <row r="501" spans="1:7" ht="25.9" customHeight="1">
      <c r="A501" s="401">
        <v>498</v>
      </c>
      <c r="B501" s="929" t="s">
        <v>2967</v>
      </c>
      <c r="C501" s="929" t="s">
        <v>2980</v>
      </c>
      <c r="D501" s="899" t="str">
        <f t="shared" si="7"/>
        <v>Energiebezugsfläche EBF (m2)</v>
      </c>
      <c r="E501" s="402" t="s">
        <v>2938</v>
      </c>
      <c r="F501" s="2338" t="s">
        <v>3177</v>
      </c>
      <c r="G501" s="403" t="s">
        <v>3178</v>
      </c>
    </row>
    <row r="502" spans="1:7" ht="25.9" customHeight="1">
      <c r="A502" s="401">
        <v>499</v>
      </c>
      <c r="B502" s="929" t="s">
        <v>2967</v>
      </c>
      <c r="C502" s="929" t="s">
        <v>2981</v>
      </c>
      <c r="D502" s="899" t="str">
        <f t="shared" si="7"/>
        <v>Neubau</v>
      </c>
      <c r="E502" s="402" t="s">
        <v>650</v>
      </c>
      <c r="F502" s="2338" t="s">
        <v>1507</v>
      </c>
      <c r="G502" s="403" t="s">
        <v>3179</v>
      </c>
    </row>
    <row r="503" spans="1:7" ht="25.9" customHeight="1">
      <c r="A503" s="401">
        <v>500</v>
      </c>
      <c r="B503" s="929" t="s">
        <v>2967</v>
      </c>
      <c r="C503" s="929" t="s">
        <v>2982</v>
      </c>
      <c r="D503" s="899" t="str">
        <f t="shared" si="7"/>
        <v>Warmwasser Rechenwert</v>
      </c>
      <c r="E503" s="402" t="s">
        <v>2939</v>
      </c>
      <c r="F503" s="2338" t="s">
        <v>2543</v>
      </c>
      <c r="G503" s="403" t="s">
        <v>3180</v>
      </c>
    </row>
    <row r="504" spans="1:7" ht="25.9" customHeight="1">
      <c r="A504" s="401">
        <v>501</v>
      </c>
      <c r="B504" s="929" t="s">
        <v>2967</v>
      </c>
      <c r="C504" s="929" t="s">
        <v>2983</v>
      </c>
      <c r="D504" s="899" t="str">
        <f>INDEX($E$4:$G$604,$A504,$A$1)</f>
        <v xml:space="preserve"> </v>
      </c>
      <c r="E504" s="429" t="s">
        <v>199</v>
      </c>
      <c r="F504" s="2338"/>
    </row>
    <row r="505" spans="1:7" ht="25.9" customHeight="1">
      <c r="A505" s="401">
        <v>502</v>
      </c>
      <c r="B505" s="929" t="s">
        <v>2967</v>
      </c>
      <c r="C505" s="929" t="s">
        <v>2984</v>
      </c>
      <c r="D505" s="899" t="str">
        <f t="shared" ref="D505:D572" si="8">INDEX($E$4:$G$604,$A505,$A$1)</f>
        <v>Klimakälte</v>
      </c>
      <c r="E505" s="402" t="s">
        <v>2940</v>
      </c>
      <c r="F505" s="2338" t="s">
        <v>3181</v>
      </c>
      <c r="G505" s="403" t="s">
        <v>3458</v>
      </c>
    </row>
    <row r="506" spans="1:7" ht="25.9" customHeight="1">
      <c r="A506" s="401">
        <v>503</v>
      </c>
      <c r="B506" s="929" t="s">
        <v>2967</v>
      </c>
      <c r="C506" s="929" t="s">
        <v>2985</v>
      </c>
      <c r="D506" s="899" t="str">
        <f t="shared" si="8"/>
        <v>Lüftung</v>
      </c>
      <c r="E506" s="402" t="s">
        <v>642</v>
      </c>
      <c r="F506" s="2338" t="s">
        <v>3182</v>
      </c>
      <c r="G506" s="403" t="s">
        <v>3183</v>
      </c>
    </row>
    <row r="507" spans="1:7" ht="25.9" customHeight="1">
      <c r="A507" s="401">
        <v>504</v>
      </c>
      <c r="B507" s="929" t="s">
        <v>2967</v>
      </c>
      <c r="C507" s="929" t="s">
        <v>2986</v>
      </c>
      <c r="D507" s="899" t="str">
        <f t="shared" si="8"/>
        <v>Anzahl Wohneinheiten</v>
      </c>
      <c r="E507" s="402" t="s">
        <v>2207</v>
      </c>
      <c r="F507" s="2338" t="s">
        <v>3184</v>
      </c>
      <c r="G507" s="403" t="s">
        <v>3185</v>
      </c>
    </row>
    <row r="508" spans="1:7" ht="25.9" customHeight="1">
      <c r="A508" s="401">
        <v>505</v>
      </c>
      <c r="B508" s="929" t="s">
        <v>2967</v>
      </c>
      <c r="C508" s="929" t="s">
        <v>2987</v>
      </c>
      <c r="D508" s="899" t="str">
        <f t="shared" si="8"/>
        <v>Bedarf Lift</v>
      </c>
      <c r="E508" s="402" t="s">
        <v>2941</v>
      </c>
      <c r="F508" s="2338" t="s">
        <v>3186</v>
      </c>
      <c r="G508" s="403" t="s">
        <v>3187</v>
      </c>
    </row>
    <row r="509" spans="1:7" ht="25.9" customHeight="1">
      <c r="A509" s="401">
        <v>506</v>
      </c>
      <c r="B509" s="929" t="s">
        <v>2967</v>
      </c>
      <c r="C509" s="929" t="s">
        <v>2988</v>
      </c>
      <c r="D509" s="899" t="str">
        <f t="shared" si="8"/>
        <v>Bedarf Heizbänder</v>
      </c>
      <c r="E509" s="402" t="s">
        <v>2942</v>
      </c>
      <c r="F509" s="2338" t="s">
        <v>3188</v>
      </c>
      <c r="G509" s="403" t="s">
        <v>3189</v>
      </c>
    </row>
    <row r="510" spans="1:7" ht="25.9" customHeight="1">
      <c r="A510" s="401">
        <v>507</v>
      </c>
      <c r="B510" s="929" t="s">
        <v>2967</v>
      </c>
      <c r="C510" s="929" t="s">
        <v>2989</v>
      </c>
      <c r="D510" s="899" t="str">
        <f t="shared" si="8"/>
        <v>Reduktion Geschirrspüler</v>
      </c>
      <c r="E510" s="402" t="s">
        <v>2943</v>
      </c>
      <c r="F510" s="2338" t="s">
        <v>3190</v>
      </c>
      <c r="G510" s="403" t="s">
        <v>3191</v>
      </c>
    </row>
    <row r="511" spans="1:7" ht="25.9" customHeight="1">
      <c r="A511" s="401">
        <v>508</v>
      </c>
      <c r="B511" s="929" t="s">
        <v>2967</v>
      </c>
      <c r="C511" s="929" t="s">
        <v>2990</v>
      </c>
      <c r="D511" s="899" t="str">
        <f t="shared" si="8"/>
        <v>Reduktion Kühl- und Gefrierschränke</v>
      </c>
      <c r="E511" s="402" t="s">
        <v>2944</v>
      </c>
      <c r="F511" s="2338" t="s">
        <v>3192</v>
      </c>
      <c r="G511" s="403" t="s">
        <v>3193</v>
      </c>
    </row>
    <row r="512" spans="1:7" ht="25.9" customHeight="1">
      <c r="A512" s="401">
        <v>509</v>
      </c>
      <c r="B512" s="929" t="s">
        <v>2967</v>
      </c>
      <c r="C512" s="929" t="s">
        <v>2991</v>
      </c>
      <c r="D512" s="899" t="str">
        <f t="shared" si="8"/>
        <v>Reduktion Waschmaschine</v>
      </c>
      <c r="E512" s="402" t="s">
        <v>2945</v>
      </c>
      <c r="F512" s="2338" t="s">
        <v>3194</v>
      </c>
      <c r="G512" s="403" t="s">
        <v>3195</v>
      </c>
    </row>
    <row r="513" spans="1:7" ht="25.9" customHeight="1">
      <c r="A513" s="401">
        <v>510</v>
      </c>
      <c r="B513" s="929" t="s">
        <v>2967</v>
      </c>
      <c r="C513" s="929" t="s">
        <v>2992</v>
      </c>
      <c r="D513" s="899" t="str">
        <f t="shared" si="8"/>
        <v>Reduktion Wäschetrockner</v>
      </c>
      <c r="E513" s="402" t="s">
        <v>2946</v>
      </c>
      <c r="F513" s="2338" t="s">
        <v>3196</v>
      </c>
      <c r="G513" s="403" t="s">
        <v>3197</v>
      </c>
    </row>
    <row r="514" spans="1:7" ht="25.9" customHeight="1">
      <c r="A514" s="401">
        <v>511</v>
      </c>
      <c r="B514" s="929" t="s">
        <v>2967</v>
      </c>
      <c r="C514" s="929" t="s">
        <v>2993</v>
      </c>
      <c r="D514" s="899" t="str">
        <f t="shared" si="8"/>
        <v>Reduktion Induktionskochherde</v>
      </c>
      <c r="E514" s="402" t="s">
        <v>2947</v>
      </c>
      <c r="F514" s="2338" t="s">
        <v>3198</v>
      </c>
      <c r="G514" s="403" t="s">
        <v>3199</v>
      </c>
    </row>
    <row r="515" spans="1:7" ht="25.9" customHeight="1">
      <c r="A515" s="401">
        <v>512</v>
      </c>
      <c r="B515" s="929" t="s">
        <v>2967</v>
      </c>
      <c r="C515" s="929" t="s">
        <v>2994</v>
      </c>
      <c r="D515" s="899" t="str">
        <f t="shared" si="8"/>
        <v>Reduktion Wohnungsbeleuchtung</v>
      </c>
      <c r="E515" s="402" t="s">
        <v>2948</v>
      </c>
      <c r="F515" s="2338" t="s">
        <v>3200</v>
      </c>
      <c r="G515" s="403" t="s">
        <v>3201</v>
      </c>
    </row>
    <row r="516" spans="1:7" ht="25.9" customHeight="1">
      <c r="A516" s="401">
        <v>513</v>
      </c>
      <c r="B516" s="929" t="s">
        <v>2967</v>
      </c>
      <c r="C516" s="929" t="s">
        <v>2995</v>
      </c>
      <c r="D516" s="899" t="str">
        <f t="shared" si="8"/>
        <v>Reduktion allgemeine Beleuchtung</v>
      </c>
      <c r="E516" s="402" t="s">
        <v>2949</v>
      </c>
      <c r="F516" s="2338" t="s">
        <v>3202</v>
      </c>
      <c r="G516" s="403" t="s">
        <v>3203</v>
      </c>
    </row>
    <row r="517" spans="1:7" ht="25.9" customHeight="1">
      <c r="A517" s="401">
        <v>514</v>
      </c>
      <c r="B517" s="929" t="s">
        <v>2967</v>
      </c>
      <c r="C517" s="929" t="s">
        <v>2996</v>
      </c>
      <c r="D517" s="899" t="str">
        <f t="shared" si="8"/>
        <v>Reduktion Geräte Gebäudebetrieb</v>
      </c>
      <c r="E517" s="402" t="s">
        <v>2950</v>
      </c>
      <c r="F517" s="2338" t="s">
        <v>3204</v>
      </c>
      <c r="G517" s="403" t="s">
        <v>3205</v>
      </c>
    </row>
    <row r="518" spans="1:7" ht="25.9" customHeight="1">
      <c r="A518" s="401">
        <v>515</v>
      </c>
      <c r="B518" s="929" t="s">
        <v>2967</v>
      </c>
      <c r="C518" s="929" t="s">
        <v>2997</v>
      </c>
      <c r="D518" s="899" t="str">
        <f t="shared" si="8"/>
        <v>Bedarf Beleuchtung Zweckbau Rechenwert</v>
      </c>
      <c r="E518" s="402" t="s">
        <v>2951</v>
      </c>
      <c r="F518" s="2338" t="s">
        <v>3206</v>
      </c>
      <c r="G518" s="403" t="s">
        <v>3207</v>
      </c>
    </row>
    <row r="519" spans="1:7" ht="25.9" customHeight="1">
      <c r="A519" s="401">
        <v>516</v>
      </c>
      <c r="B519" s="929" t="s">
        <v>2967</v>
      </c>
      <c r="C519" s="929" t="s">
        <v>2998</v>
      </c>
      <c r="D519" s="899" t="str">
        <f t="shared" si="8"/>
        <v>Bedarf Geräte Zweckbau Rechenwert</v>
      </c>
      <c r="E519" s="402" t="s">
        <v>2952</v>
      </c>
      <c r="F519" s="2338" t="s">
        <v>3208</v>
      </c>
      <c r="G519" s="403" t="s">
        <v>3209</v>
      </c>
    </row>
    <row r="520" spans="1:7" ht="25.9" customHeight="1">
      <c r="A520" s="401">
        <v>517</v>
      </c>
      <c r="B520" s="929" t="s">
        <v>2967</v>
      </c>
      <c r="C520" s="929" t="s">
        <v>2999</v>
      </c>
      <c r="D520" s="899" t="str">
        <f t="shared" si="8"/>
        <v>Bedarf AGT Zweckbau Rechenwert</v>
      </c>
      <c r="E520" s="402" t="s">
        <v>2953</v>
      </c>
      <c r="F520" s="2338" t="s">
        <v>3210</v>
      </c>
      <c r="G520" s="403" t="s">
        <v>3211</v>
      </c>
    </row>
    <row r="521" spans="1:7" ht="25.9" customHeight="1">
      <c r="A521" s="401">
        <v>518</v>
      </c>
      <c r="B521" s="929" t="s">
        <v>313</v>
      </c>
      <c r="C521" s="929" t="s">
        <v>549</v>
      </c>
      <c r="D521" s="899" t="str">
        <f t="shared" si="8"/>
        <v xml:space="preserve"> - Wärmerückgewinnung Abwasser in %</v>
      </c>
      <c r="E521" s="402" t="s">
        <v>3026</v>
      </c>
      <c r="F521" s="1394" t="s">
        <v>3934</v>
      </c>
      <c r="G521" s="403" t="s">
        <v>3212</v>
      </c>
    </row>
    <row r="522" spans="1:7" ht="25.9" customHeight="1">
      <c r="A522" s="401">
        <v>519</v>
      </c>
      <c r="B522" s="929" t="s">
        <v>313</v>
      </c>
      <c r="C522" s="929" t="s">
        <v>1760</v>
      </c>
      <c r="D522" s="899" t="str">
        <f t="shared" si="8"/>
        <v>Gebäudehöhe</v>
      </c>
      <c r="E522" s="402" t="s">
        <v>3078</v>
      </c>
      <c r="F522" s="2338" t="s">
        <v>3213</v>
      </c>
      <c r="G522" s="403" t="s">
        <v>3214</v>
      </c>
    </row>
    <row r="523" spans="1:7" ht="25.9" customHeight="1">
      <c r="A523" s="401">
        <v>520</v>
      </c>
      <c r="B523" s="929" t="s">
        <v>622</v>
      </c>
      <c r="C523" s="929" t="s">
        <v>3084</v>
      </c>
      <c r="D523" s="899" t="str">
        <f t="shared" si="8"/>
        <v>Gaswärmepumpe, Heizung</v>
      </c>
      <c r="E523" s="402" t="s">
        <v>3080</v>
      </c>
      <c r="F523" s="2338" t="s">
        <v>3215</v>
      </c>
      <c r="G523" s="403" t="s">
        <v>3216</v>
      </c>
    </row>
    <row r="524" spans="1:7" ht="25.9" customHeight="1">
      <c r="A524" s="401">
        <v>521</v>
      </c>
      <c r="B524" s="929" t="s">
        <v>622</v>
      </c>
      <c r="C524" s="929" t="s">
        <v>3085</v>
      </c>
      <c r="D524" s="899" t="str">
        <f t="shared" si="8"/>
        <v>Gaswärmepumpe, Warmwasser</v>
      </c>
      <c r="E524" s="402" t="s">
        <v>3081</v>
      </c>
      <c r="F524" s="2338" t="s">
        <v>3217</v>
      </c>
      <c r="G524" s="403" t="s">
        <v>3218</v>
      </c>
    </row>
    <row r="525" spans="1:7" ht="25.9" customHeight="1">
      <c r="A525" s="401">
        <v>522</v>
      </c>
      <c r="B525" s="929" t="s">
        <v>622</v>
      </c>
      <c r="C525" s="929" t="s">
        <v>3086</v>
      </c>
      <c r="D525" s="899" t="str">
        <f t="shared" si="8"/>
        <v>Gaswärmepumpe, nur Heizung</v>
      </c>
      <c r="E525" s="402" t="s">
        <v>3082</v>
      </c>
      <c r="F525" s="2338" t="s">
        <v>3219</v>
      </c>
      <c r="G525" s="403" t="s">
        <v>3220</v>
      </c>
    </row>
    <row r="526" spans="1:7" ht="25.9" customHeight="1">
      <c r="A526" s="401">
        <v>523</v>
      </c>
      <c r="B526" s="929" t="s">
        <v>622</v>
      </c>
      <c r="C526" s="929" t="s">
        <v>3087</v>
      </c>
      <c r="D526" s="899" t="str">
        <f t="shared" si="8"/>
        <v>Gaswärmepumpe, nur Warmwasser</v>
      </c>
      <c r="E526" s="402" t="s">
        <v>3083</v>
      </c>
      <c r="F526" s="2338" t="s">
        <v>3221</v>
      </c>
      <c r="G526" s="403" t="s">
        <v>3222</v>
      </c>
    </row>
    <row r="527" spans="1:7" ht="25.9" customHeight="1">
      <c r="A527" s="401">
        <v>524</v>
      </c>
      <c r="B527" s="929" t="s">
        <v>53</v>
      </c>
      <c r="C527" s="929" t="s">
        <v>3097</v>
      </c>
      <c r="D527" s="899" t="str">
        <f t="shared" si="8"/>
        <v>Einheit prüfen !</v>
      </c>
      <c r="E527" s="402" t="s">
        <v>3096</v>
      </c>
      <c r="F527" s="2338" t="s">
        <v>3223</v>
      </c>
      <c r="G527" s="403" t="s">
        <v>3224</v>
      </c>
    </row>
    <row r="528" spans="1:7" ht="25.9" customHeight="1">
      <c r="A528" s="401">
        <v>525</v>
      </c>
      <c r="B528" s="929" t="s">
        <v>313</v>
      </c>
      <c r="C528" s="929" t="s">
        <v>853</v>
      </c>
      <c r="D528" s="899" t="str">
        <f t="shared" si="8"/>
        <v>Beleuchtungsnachweis vorhanden</v>
      </c>
      <c r="E528" s="402" t="s">
        <v>3121</v>
      </c>
      <c r="F528" s="2338" t="s">
        <v>3225</v>
      </c>
      <c r="G528" s="403" t="s">
        <v>3226</v>
      </c>
    </row>
    <row r="529" spans="1:7" ht="25.9" customHeight="1">
      <c r="A529" s="401">
        <v>526</v>
      </c>
      <c r="B529" s="929" t="s">
        <v>622</v>
      </c>
      <c r="C529" s="929" t="s">
        <v>1807</v>
      </c>
      <c r="D529" s="899" t="str">
        <f t="shared" si="8"/>
        <v>Konzept Luftdichtheitsmessung beigelegt?</v>
      </c>
      <c r="E529" s="402" t="s">
        <v>3154</v>
      </c>
      <c r="F529" s="2338" t="s">
        <v>3227</v>
      </c>
      <c r="G529" s="403" t="s">
        <v>3228</v>
      </c>
    </row>
    <row r="530" spans="1:7" ht="25.9" customHeight="1">
      <c r="A530" s="401">
        <v>527</v>
      </c>
      <c r="B530" s="929" t="s">
        <v>1747</v>
      </c>
      <c r="C530" s="929" t="s">
        <v>549</v>
      </c>
      <c r="D530" s="899" t="str">
        <f t="shared" si="8"/>
        <v>Wohnen (EFH, MFH), Räume mit bis zu 2 Fassaden, Betondecke (&gt;80% frei)</v>
      </c>
      <c r="E530" s="402" t="s">
        <v>3268</v>
      </c>
      <c r="F530" s="2338" t="s">
        <v>3459</v>
      </c>
      <c r="G530" s="403" t="s">
        <v>3460</v>
      </c>
    </row>
    <row r="531" spans="1:7" ht="25.9" customHeight="1">
      <c r="A531" s="401">
        <v>528</v>
      </c>
      <c r="B531" s="929" t="s">
        <v>1747</v>
      </c>
      <c r="C531" s="929" t="s">
        <v>1756</v>
      </c>
      <c r="D531" s="899" t="str">
        <f t="shared" si="8"/>
        <v>- Maximale Glasflächenzahl:</v>
      </c>
      <c r="E531" s="402" t="s">
        <v>3269</v>
      </c>
      <c r="F531" s="2338" t="s">
        <v>3461</v>
      </c>
      <c r="G531" s="403" t="s">
        <v>3462</v>
      </c>
    </row>
    <row r="532" spans="1:7" ht="25.9" customHeight="1">
      <c r="A532" s="401">
        <v>529</v>
      </c>
      <c r="B532" s="929" t="s">
        <v>1747</v>
      </c>
      <c r="C532" s="929" t="s">
        <v>550</v>
      </c>
      <c r="D532" s="899" t="str">
        <f t="shared" si="8"/>
        <v>Wohnen (EFH, MFH), Räume mit bis zu 2 Fassaden, Holzdecke und Zementunterlagsboden mit min. 6 cm oder Anhydrit min. 5 cm Stärke</v>
      </c>
      <c r="E532" s="402" t="s">
        <v>3270</v>
      </c>
      <c r="F532" s="2338" t="s">
        <v>3463</v>
      </c>
      <c r="G532" s="403" t="s">
        <v>3464</v>
      </c>
    </row>
    <row r="533" spans="1:7" ht="25.9" customHeight="1">
      <c r="A533" s="401">
        <v>530</v>
      </c>
      <c r="B533" s="929" t="s">
        <v>1747</v>
      </c>
      <c r="C533" s="929" t="s">
        <v>496</v>
      </c>
      <c r="D533" s="899" t="str">
        <f t="shared" si="8"/>
        <v>Wohnen (EFH, MFH), Räume mit 1 Fassade, Betondecke (&gt;80% frei) SSE-SSW-Orientierung und Verschattung durch Balkon mit 1 Meter Tiefe</v>
      </c>
      <c r="E533" s="402" t="s">
        <v>3323</v>
      </c>
      <c r="F533" s="2338" t="s">
        <v>3465</v>
      </c>
      <c r="G533" s="403" t="s">
        <v>3466</v>
      </c>
    </row>
    <row r="534" spans="1:7" ht="25.9" customHeight="1">
      <c r="A534" s="401">
        <v>531</v>
      </c>
      <c r="B534" s="929" t="s">
        <v>1747</v>
      </c>
      <c r="C534" s="929" t="s">
        <v>865</v>
      </c>
      <c r="D534" s="899" t="str">
        <f t="shared" si="8"/>
        <v>Einzelbüro, Gruppenbüro, Räume mit bis zu 2 Fassaden, Betondecke (&gt; 40% frei) und automat. Steuerung des Sonnenschutzes. G-Wert Glas ≤ 30%</v>
      </c>
      <c r="E534" s="402" t="s">
        <v>3271</v>
      </c>
      <c r="F534" s="2338" t="s">
        <v>3467</v>
      </c>
      <c r="G534" s="403" t="s">
        <v>3468</v>
      </c>
    </row>
    <row r="535" spans="1:7" ht="25.9" customHeight="1">
      <c r="A535" s="401">
        <v>532</v>
      </c>
      <c r="B535" s="929" t="s">
        <v>1747</v>
      </c>
      <c r="C535" s="929" t="s">
        <v>870</v>
      </c>
      <c r="D535" s="899" t="str">
        <f t="shared" si="8"/>
        <v>Variante 2: Externer Nachweis der Kriterien gemäss SIA382/1 und SIA 180 (ohne Kühlung)</v>
      </c>
      <c r="E535" s="402" t="s">
        <v>3272</v>
      </c>
      <c r="F535" s="2338" t="s">
        <v>3469</v>
      </c>
      <c r="G535" s="403" t="s">
        <v>3470</v>
      </c>
    </row>
    <row r="536" spans="1:7" ht="42" customHeight="1">
      <c r="A536" s="401">
        <v>533</v>
      </c>
      <c r="B536" s="929" t="s">
        <v>1747</v>
      </c>
      <c r="C536" s="929" t="s">
        <v>98</v>
      </c>
      <c r="D536" s="899" t="str">
        <f t="shared" si="8"/>
        <v>Anforderungen an den baulichen sommerlichen Wärmeschutz gemäss Nachweis Sommerlicher Wärmeschutz Variante 2 erfüllt?</v>
      </c>
      <c r="E536" s="402" t="s">
        <v>3433</v>
      </c>
      <c r="F536" s="2338" t="s">
        <v>3471</v>
      </c>
      <c r="G536" s="403" t="s">
        <v>3472</v>
      </c>
    </row>
    <row r="537" spans="1:7" ht="25.9" customHeight="1">
      <c r="A537" s="401">
        <v>534</v>
      </c>
      <c r="B537" s="929" t="s">
        <v>1747</v>
      </c>
      <c r="C537" s="929" t="s">
        <v>849</v>
      </c>
      <c r="D537" s="899" t="str">
        <f t="shared" si="8"/>
        <v>- Keine Oblichter</v>
      </c>
      <c r="E537" s="402" t="s">
        <v>3273</v>
      </c>
      <c r="F537" s="2338" t="s">
        <v>3473</v>
      </c>
      <c r="G537" s="403" t="s">
        <v>3474</v>
      </c>
    </row>
    <row r="538" spans="1:7" ht="25.9" customHeight="1">
      <c r="A538" s="401">
        <v>535</v>
      </c>
      <c r="B538" s="929" t="s">
        <v>1747</v>
      </c>
      <c r="C538" s="929" t="s">
        <v>466</v>
      </c>
      <c r="D538" s="899" t="str">
        <f t="shared" si="8"/>
        <v>- Aussen liegender beweglicher Sonnenschutz mit Rolläden oder Rafflamellenstoren (g-Wert-total max 0.1)</v>
      </c>
      <c r="E538" s="402" t="s">
        <v>3274</v>
      </c>
      <c r="F538" s="2338" t="s">
        <v>3475</v>
      </c>
      <c r="G538" s="403" t="s">
        <v>3476</v>
      </c>
    </row>
    <row r="539" spans="1:7" ht="25.9" customHeight="1">
      <c r="A539" s="401">
        <v>536</v>
      </c>
      <c r="B539" s="929" t="s">
        <v>1747</v>
      </c>
      <c r="C539" s="929" t="s">
        <v>852</v>
      </c>
      <c r="D539" s="899" t="str">
        <f t="shared" si="8"/>
        <v>- Eine Nachauskühlung mit Fensterlüftung ist möglich (Hinweis: Der Einbruchschutz wird im Rahmen der Minergie-Zertifizierung generell nicht geprüft.);</v>
      </c>
      <c r="E539" s="402" t="s">
        <v>3275</v>
      </c>
      <c r="F539" s="2338" t="s">
        <v>3477</v>
      </c>
      <c r="G539" s="403" t="s">
        <v>3478</v>
      </c>
    </row>
    <row r="540" spans="1:7" ht="25.9" customHeight="1">
      <c r="A540" s="401">
        <v>537</v>
      </c>
      <c r="B540" s="929" t="s">
        <v>1747</v>
      </c>
      <c r="C540" s="929" t="s">
        <v>853</v>
      </c>
      <c r="D540" s="899" t="str">
        <f t="shared" si="8"/>
        <v>- Die internen Wärmelasten sind nicht höher als die Standardwerte im Merkblatt SIA 2024</v>
      </c>
      <c r="E540" s="402" t="s">
        <v>3276</v>
      </c>
      <c r="F540" s="2338" t="s">
        <v>3479</v>
      </c>
      <c r="G540" s="403" t="s">
        <v>3480</v>
      </c>
    </row>
    <row r="541" spans="1:7" ht="25.9" customHeight="1">
      <c r="A541" s="401">
        <v>538</v>
      </c>
      <c r="B541" s="929" t="s">
        <v>1747</v>
      </c>
      <c r="C541" s="929" t="s">
        <v>1793</v>
      </c>
      <c r="D541" s="899" t="str">
        <f t="shared" si="8"/>
        <v>Anforderungen an Komfortkriterien gemäss Nachweis Sommerlicher Wärmeschutz erfüllt?</v>
      </c>
      <c r="E541" s="402" t="s">
        <v>3434</v>
      </c>
      <c r="F541" s="2338" t="s">
        <v>3481</v>
      </c>
      <c r="G541" s="403" t="s">
        <v>3482</v>
      </c>
    </row>
    <row r="542" spans="1:7" ht="25.9" customHeight="1">
      <c r="A542" s="401">
        <v>539</v>
      </c>
      <c r="B542" s="929" t="s">
        <v>1747</v>
      </c>
      <c r="C542" s="929" t="s">
        <v>3278</v>
      </c>
      <c r="D542" s="899" t="str">
        <f t="shared" si="8"/>
        <v>Bis auf weiteres zulässig</v>
      </c>
      <c r="E542" s="402" t="s">
        <v>3277</v>
      </c>
      <c r="F542" s="2338" t="s">
        <v>3483</v>
      </c>
      <c r="G542" s="403" t="s">
        <v>3484</v>
      </c>
    </row>
    <row r="543" spans="1:7" ht="25.9" customHeight="1">
      <c r="A543" s="401">
        <v>540</v>
      </c>
      <c r="B543" s="929" t="s">
        <v>622</v>
      </c>
      <c r="C543" s="929" t="s">
        <v>3369</v>
      </c>
      <c r="D543" s="1723" t="str">
        <f t="shared" si="8"/>
        <v>Leerrohre Elektromobilität</v>
      </c>
      <c r="E543" s="402" t="s">
        <v>3370</v>
      </c>
      <c r="F543" s="2338" t="s">
        <v>3485</v>
      </c>
      <c r="G543" s="403" t="s">
        <v>3486</v>
      </c>
    </row>
    <row r="544" spans="1:7" ht="25.9" customHeight="1">
      <c r="A544" s="401">
        <v>541</v>
      </c>
      <c r="B544" s="929" t="s">
        <v>622</v>
      </c>
      <c r="C544" s="929" t="s">
        <v>3371</v>
      </c>
      <c r="D544" s="1723" t="str">
        <f t="shared" si="8"/>
        <v>Wird die Ausbaustufe A gemäss SIA 2060 umgesetzt?</v>
      </c>
      <c r="E544" s="402" t="s">
        <v>3916</v>
      </c>
      <c r="F544" s="2338" t="s">
        <v>3950</v>
      </c>
      <c r="G544" s="403" t="s">
        <v>3953</v>
      </c>
    </row>
    <row r="545" spans="1:7" ht="25.9" customHeight="1">
      <c r="A545" s="401">
        <v>542</v>
      </c>
      <c r="B545" s="929" t="s">
        <v>1797</v>
      </c>
      <c r="C545" s="929" t="s">
        <v>3407</v>
      </c>
      <c r="D545" s="1723" t="str">
        <f t="shared" si="8"/>
        <v>MKZ,H: Minergie-Teilkennzahl Heizung</v>
      </c>
      <c r="E545" s="402" t="s">
        <v>3397</v>
      </c>
      <c r="F545" s="2338" t="s">
        <v>3487</v>
      </c>
      <c r="G545" s="403" t="s">
        <v>3488</v>
      </c>
    </row>
    <row r="546" spans="1:7" ht="25.9" customHeight="1">
      <c r="A546" s="401">
        <v>543</v>
      </c>
      <c r="B546" s="929" t="s">
        <v>1797</v>
      </c>
      <c r="C546" s="929" t="s">
        <v>3408</v>
      </c>
      <c r="D546" s="1723" t="str">
        <f t="shared" si="8"/>
        <v>MKZ,ww: Minergie-Teilkennzahl Warmwasser</v>
      </c>
      <c r="E546" s="402" t="s">
        <v>3398</v>
      </c>
      <c r="F546" s="2338" t="s">
        <v>3489</v>
      </c>
      <c r="G546" s="403" t="s">
        <v>3490</v>
      </c>
    </row>
    <row r="547" spans="1:7" ht="25.9" customHeight="1">
      <c r="A547" s="401">
        <v>544</v>
      </c>
      <c r="B547" s="929" t="s">
        <v>1797</v>
      </c>
      <c r="C547" s="929" t="s">
        <v>3409</v>
      </c>
      <c r="D547" s="1723" t="str">
        <f t="shared" si="8"/>
        <v>MKZ,LK: Minergie-Teilkennzahl Lüftung und Klima</v>
      </c>
      <c r="E547" s="402" t="s">
        <v>3399</v>
      </c>
      <c r="F547" s="2338" t="s">
        <v>3491</v>
      </c>
      <c r="G547" s="403" t="s">
        <v>3492</v>
      </c>
    </row>
    <row r="548" spans="1:7" ht="25.9" customHeight="1">
      <c r="A548" s="401">
        <v>545</v>
      </c>
      <c r="B548" s="929" t="s">
        <v>1797</v>
      </c>
      <c r="C548" s="929" t="s">
        <v>3410</v>
      </c>
      <c r="D548" s="1723" t="str">
        <f t="shared" si="8"/>
        <v>MKZel,wohn: Minergie-Teilkennzahl Wohnstrom</v>
      </c>
      <c r="E548" s="402" t="s">
        <v>3400</v>
      </c>
      <c r="F548" s="2338" t="s">
        <v>3493</v>
      </c>
      <c r="G548" s="403" t="s">
        <v>3494</v>
      </c>
    </row>
    <row r="549" spans="1:7" ht="25.9" customHeight="1">
      <c r="A549" s="401">
        <v>546</v>
      </c>
      <c r="B549" s="929" t="s">
        <v>1797</v>
      </c>
      <c r="C549" s="929" t="s">
        <v>3411</v>
      </c>
      <c r="D549" s="1723" t="str">
        <f t="shared" si="8"/>
        <v>MKZ,Bel: Minergie-Teilkennzahl Beleuchtung</v>
      </c>
      <c r="E549" s="402" t="s">
        <v>3401</v>
      </c>
      <c r="F549" s="2338" t="s">
        <v>3495</v>
      </c>
      <c r="G549" s="403" t="s">
        <v>3496</v>
      </c>
    </row>
    <row r="550" spans="1:7" ht="25.9" customHeight="1">
      <c r="A550" s="401">
        <v>547</v>
      </c>
      <c r="B550" s="929" t="s">
        <v>1797</v>
      </c>
      <c r="C550" s="929" t="s">
        <v>3412</v>
      </c>
      <c r="D550" s="1723" t="str">
        <f t="shared" si="8"/>
        <v>MKZ,Geräte: Minergie-Teilkennzahl Geräte</v>
      </c>
      <c r="E550" s="402" t="s">
        <v>3402</v>
      </c>
      <c r="F550" s="2338" t="s">
        <v>3497</v>
      </c>
      <c r="G550" s="403" t="s">
        <v>3498</v>
      </c>
    </row>
    <row r="551" spans="1:7" ht="25.9" customHeight="1">
      <c r="A551" s="401">
        <v>548</v>
      </c>
      <c r="B551" s="929" t="s">
        <v>1797</v>
      </c>
      <c r="C551" s="929" t="s">
        <v>3413</v>
      </c>
      <c r="D551" s="1723" t="str">
        <f t="shared" si="8"/>
        <v>MKZ,AGT: Minergie-Teilkennzahl allgemeine Gebäudetechnik</v>
      </c>
      <c r="E551" s="402" t="s">
        <v>3403</v>
      </c>
      <c r="F551" s="2338" t="s">
        <v>3499</v>
      </c>
      <c r="G551" s="403" t="s">
        <v>3500</v>
      </c>
    </row>
    <row r="552" spans="1:7" ht="25.9" customHeight="1">
      <c r="A552" s="401">
        <v>549</v>
      </c>
      <c r="B552" s="929" t="s">
        <v>1797</v>
      </c>
      <c r="C552" s="929" t="s">
        <v>3414</v>
      </c>
      <c r="D552" s="1723" t="str">
        <f t="shared" si="8"/>
        <v>E,EB: Eigenverbrauch des selbstproduzierten PV-Stroms</v>
      </c>
      <c r="E552" s="402" t="s">
        <v>3404</v>
      </c>
      <c r="F552" s="2338" t="s">
        <v>3501</v>
      </c>
      <c r="G552" s="403" t="s">
        <v>3502</v>
      </c>
    </row>
    <row r="553" spans="1:7" ht="25.9" customHeight="1">
      <c r="A553" s="401">
        <v>550</v>
      </c>
      <c r="B553" s="929" t="s">
        <v>1797</v>
      </c>
      <c r="C553" s="929" t="s">
        <v>3415</v>
      </c>
      <c r="D553" s="1723" t="str">
        <f t="shared" si="8"/>
        <v>E,Netz: Ins Netz eingespiesener PV-Strom aus der eigenen Anlage</v>
      </c>
      <c r="E553" s="402" t="s">
        <v>3405</v>
      </c>
      <c r="F553" s="2338" t="s">
        <v>3503</v>
      </c>
      <c r="G553" s="403" t="s">
        <v>3504</v>
      </c>
    </row>
    <row r="554" spans="1:7" ht="25.9" customHeight="1">
      <c r="A554" s="401">
        <v>551</v>
      </c>
      <c r="B554" s="929" t="s">
        <v>1797</v>
      </c>
      <c r="C554" s="929" t="s">
        <v>3416</v>
      </c>
      <c r="D554" s="1723" t="str">
        <f t="shared" si="8"/>
        <v>MKZ: Minergie-Kennzahl</v>
      </c>
      <c r="E554" s="402" t="s">
        <v>3406</v>
      </c>
      <c r="F554" s="2338" t="s">
        <v>3505</v>
      </c>
      <c r="G554" s="403" t="s">
        <v>3506</v>
      </c>
    </row>
    <row r="555" spans="1:7" ht="25.9" customHeight="1">
      <c r="A555" s="401">
        <v>552</v>
      </c>
      <c r="B555" s="929" t="s">
        <v>1747</v>
      </c>
      <c r="C555" s="929" t="s">
        <v>3435</v>
      </c>
      <c r="D555" s="1723" t="str">
        <f t="shared" si="8"/>
        <v>Hinweis: Falls Nein, so muss die Möglichkeit zur Fensterlüftung trotzdem erfüllt sein.</v>
      </c>
      <c r="E555" s="402" t="s">
        <v>3432</v>
      </c>
      <c r="F555" s="2338" t="s">
        <v>3507</v>
      </c>
      <c r="G555" s="403" t="s">
        <v>3508</v>
      </c>
    </row>
    <row r="556" spans="1:7" ht="25.9" customHeight="1">
      <c r="A556" s="401">
        <v>553</v>
      </c>
      <c r="B556" s="929" t="s">
        <v>1747</v>
      </c>
      <c r="C556" s="929" t="s">
        <v>879</v>
      </c>
      <c r="D556" s="1723" t="str">
        <f t="shared" si="8"/>
        <v>Variante 3: Externer Nachweis der Kriterien gemäss SIA180 und SIA382/1 (mit Kühlung)</v>
      </c>
      <c r="E556" s="402" t="s">
        <v>3509</v>
      </c>
      <c r="F556" s="2338" t="s">
        <v>3510</v>
      </c>
      <c r="G556" s="403" t="s">
        <v>4967</v>
      </c>
    </row>
    <row r="557" spans="1:7" ht="63" customHeight="1">
      <c r="A557" s="401">
        <v>554</v>
      </c>
      <c r="B557" s="929" t="s">
        <v>1747</v>
      </c>
      <c r="C557" s="929" t="s">
        <v>1768</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3621</v>
      </c>
      <c r="F557" s="2338" t="s">
        <v>3511</v>
      </c>
      <c r="G557" s="403" t="s">
        <v>3622</v>
      </c>
    </row>
    <row r="558" spans="1:7" ht="25.9" customHeight="1">
      <c r="A558" s="401">
        <v>555</v>
      </c>
      <c r="B558" s="929" t="s">
        <v>1747</v>
      </c>
      <c r="C558" s="929" t="s">
        <v>853</v>
      </c>
      <c r="D558" s="1723" t="str">
        <f t="shared" si="8"/>
        <v>- Windfestigkeit des aussenliegenden beweglichen Sonnenschutzes mindestens Windwiderstandsklasse 5</v>
      </c>
      <c r="E558" s="429" t="s">
        <v>3442</v>
      </c>
      <c r="F558" s="2338" t="s">
        <v>3512</v>
      </c>
      <c r="G558" s="403" t="s">
        <v>3513</v>
      </c>
    </row>
    <row r="559" spans="1:7" ht="25.9" customHeight="1">
      <c r="A559" s="401">
        <v>556</v>
      </c>
      <c r="B559" s="929" t="s">
        <v>622</v>
      </c>
      <c r="C559" s="929" t="s">
        <v>3536</v>
      </c>
      <c r="D559" s="1723" t="str">
        <f t="shared" si="8"/>
        <v>Minergie mit SIA 380/1:2016</v>
      </c>
      <c r="E559" s="402" t="s">
        <v>3530</v>
      </c>
      <c r="F559" s="2338" t="s">
        <v>3542</v>
      </c>
      <c r="G559" s="403" t="s">
        <v>3548</v>
      </c>
    </row>
    <row r="560" spans="1:7" ht="25.9" customHeight="1">
      <c r="A560" s="401">
        <v>557</v>
      </c>
      <c r="B560" s="929" t="s">
        <v>622</v>
      </c>
      <c r="C560" s="929" t="s">
        <v>3537</v>
      </c>
      <c r="D560" s="1723" t="str">
        <f t="shared" si="8"/>
        <v>Minergie-P mit SIA 380/1:2016</v>
      </c>
      <c r="E560" s="402" t="s">
        <v>3531</v>
      </c>
      <c r="F560" s="2338" t="s">
        <v>3543</v>
      </c>
      <c r="G560" s="403" t="s">
        <v>3549</v>
      </c>
    </row>
    <row r="561" spans="1:7" ht="25.9" customHeight="1">
      <c r="A561" s="401">
        <v>558</v>
      </c>
      <c r="B561" s="929" t="s">
        <v>622</v>
      </c>
      <c r="C561" s="929" t="s">
        <v>3538</v>
      </c>
      <c r="D561" s="1723" t="str">
        <f t="shared" si="8"/>
        <v>Minergie-A mit SIA 380/1:2016</v>
      </c>
      <c r="E561" s="402" t="s">
        <v>3532</v>
      </c>
      <c r="F561" s="2338" t="s">
        <v>3544</v>
      </c>
      <c r="G561" s="403" t="s">
        <v>3550</v>
      </c>
    </row>
    <row r="562" spans="1:7" ht="25.9" customHeight="1">
      <c r="A562" s="401">
        <v>559</v>
      </c>
      <c r="B562" s="929" t="s">
        <v>622</v>
      </c>
      <c r="C562" s="929" t="s">
        <v>3539</v>
      </c>
      <c r="D562" s="1723" t="str">
        <f t="shared" si="8"/>
        <v>Minergie mit SIA 380/1:2009</v>
      </c>
      <c r="E562" s="402" t="s">
        <v>3533</v>
      </c>
      <c r="F562" s="2338" t="s">
        <v>3545</v>
      </c>
      <c r="G562" s="403" t="s">
        <v>3551</v>
      </c>
    </row>
    <row r="563" spans="1:7" ht="25.9" customHeight="1">
      <c r="A563" s="401">
        <v>560</v>
      </c>
      <c r="B563" s="929" t="s">
        <v>622</v>
      </c>
      <c r="C563" s="929" t="s">
        <v>3540</v>
      </c>
      <c r="D563" s="1723" t="str">
        <f t="shared" si="8"/>
        <v>Minergie-P mit SIA 380/1:2009</v>
      </c>
      <c r="E563" s="402" t="s">
        <v>3534</v>
      </c>
      <c r="F563" s="2338" t="s">
        <v>3546</v>
      </c>
      <c r="G563" s="403" t="s">
        <v>3552</v>
      </c>
    </row>
    <row r="564" spans="1:7" ht="25.9" customHeight="1">
      <c r="A564" s="401">
        <v>561</v>
      </c>
      <c r="B564" s="929" t="s">
        <v>622</v>
      </c>
      <c r="C564" s="929" t="s">
        <v>3541</v>
      </c>
      <c r="D564" s="1723" t="str">
        <f t="shared" si="8"/>
        <v>Minergie-A mit SIA 380/1:2009</v>
      </c>
      <c r="E564" s="402" t="s">
        <v>3535</v>
      </c>
      <c r="F564" s="2338" t="s">
        <v>3547</v>
      </c>
      <c r="G564" s="403" t="s">
        <v>3553</v>
      </c>
    </row>
    <row r="565" spans="1:7" ht="25.9" customHeight="1">
      <c r="A565" s="401">
        <v>562</v>
      </c>
      <c r="B565" s="929" t="s">
        <v>622</v>
      </c>
      <c r="C565" s="929" t="s">
        <v>3591</v>
      </c>
      <c r="D565" s="1723" t="str">
        <f t="shared" si="8"/>
        <v>Abwärmemenge  [kWh]</v>
      </c>
      <c r="E565" s="402" t="s">
        <v>3584</v>
      </c>
      <c r="F565" s="2338" t="s">
        <v>3589</v>
      </c>
      <c r="G565" s="403" t="s">
        <v>3590</v>
      </c>
    </row>
    <row r="566" spans="1:7" ht="25.9" customHeight="1">
      <c r="A566" s="401">
        <v>563</v>
      </c>
      <c r="B566" s="929" t="s">
        <v>622</v>
      </c>
      <c r="C566" s="929" t="s">
        <v>3594</v>
      </c>
      <c r="D566" s="1723" t="str">
        <f t="shared" si="8"/>
        <v>Temperatur Abwärme  [°C]</v>
      </c>
      <c r="E566" s="402" t="s">
        <v>3582</v>
      </c>
      <c r="F566" s="2338" t="s">
        <v>3592</v>
      </c>
      <c r="G566" s="403" t="s">
        <v>3593</v>
      </c>
    </row>
    <row r="567" spans="1:7" ht="25.9" customHeight="1">
      <c r="A567" s="401">
        <v>564</v>
      </c>
      <c r="B567" s="929" t="s">
        <v>622</v>
      </c>
      <c r="C567" s="929" t="s">
        <v>3596</v>
      </c>
      <c r="D567" s="1723" t="str">
        <f t="shared" si="8"/>
        <v>Nutzungsgrad Kälteerzeugung  (EER)</v>
      </c>
      <c r="E567" s="402" t="s">
        <v>3595</v>
      </c>
      <c r="F567" s="2338" t="s">
        <v>3597</v>
      </c>
      <c r="G567" s="403" t="s">
        <v>3598</v>
      </c>
    </row>
    <row r="568" spans="1:7" ht="25.9" customHeight="1">
      <c r="A568" s="401">
        <v>565</v>
      </c>
      <c r="B568" s="929" t="s">
        <v>706</v>
      </c>
      <c r="C568" s="929" t="s">
        <v>3813</v>
      </c>
      <c r="D568" s="1723" t="str">
        <f t="shared" si="8"/>
        <v>Strombedarf Klimakälte fehlt</v>
      </c>
      <c r="E568" s="402" t="s">
        <v>3812</v>
      </c>
      <c r="F568" s="2338" t="s">
        <v>3814</v>
      </c>
      <c r="G568" s="403" t="s">
        <v>3815</v>
      </c>
    </row>
    <row r="569" spans="1:7" ht="25.9" customHeight="1">
      <c r="A569" s="401">
        <v>566</v>
      </c>
      <c r="B569" s="929" t="s">
        <v>622</v>
      </c>
      <c r="C569" s="929" t="s">
        <v>3616</v>
      </c>
      <c r="D569" s="1723" t="str">
        <f t="shared" si="8"/>
        <v>Verbundlüftung</v>
      </c>
      <c r="E569" s="402" t="s">
        <v>3614</v>
      </c>
      <c r="F569" s="2338" t="s">
        <v>3817</v>
      </c>
      <c r="G569" s="2230" t="s">
        <v>3819</v>
      </c>
    </row>
    <row r="570" spans="1:7" ht="25.9" customHeight="1">
      <c r="A570" s="401">
        <v>567</v>
      </c>
      <c r="B570" s="929" t="s">
        <v>622</v>
      </c>
      <c r="C570" s="929" t="s">
        <v>3617</v>
      </c>
      <c r="D570" s="1723" t="str">
        <f t="shared" si="8"/>
        <v>Grundlüftung</v>
      </c>
      <c r="E570" s="402" t="s">
        <v>3615</v>
      </c>
      <c r="F570" s="2338" t="s">
        <v>3818</v>
      </c>
      <c r="G570" s="2230" t="s">
        <v>3820</v>
      </c>
    </row>
    <row r="571" spans="1:7" ht="25.9" customHeight="1">
      <c r="A571" s="401">
        <v>568</v>
      </c>
      <c r="B571" s="929" t="s">
        <v>622</v>
      </c>
      <c r="C571" s="929" t="s">
        <v>930</v>
      </c>
      <c r="D571" s="1723" t="str">
        <f t="shared" si="8"/>
        <v>Enthalpie-WT</v>
      </c>
      <c r="E571" s="402" t="s">
        <v>3620</v>
      </c>
      <c r="F571" s="2338" t="s">
        <v>3816</v>
      </c>
      <c r="G571" s="2230" t="s">
        <v>4968</v>
      </c>
    </row>
    <row r="572" spans="1:7" ht="25.9" customHeight="1">
      <c r="A572" s="401">
        <v>569</v>
      </c>
      <c r="B572" s="929" t="s">
        <v>53</v>
      </c>
      <c r="C572" s="929" t="s">
        <v>3811</v>
      </c>
      <c r="D572" s="1723" t="str">
        <f t="shared" si="8"/>
        <v>&gt; 1'000 m3/h Abluft</v>
      </c>
      <c r="E572" s="402" t="s">
        <v>3808</v>
      </c>
      <c r="F572" s="2338" t="s">
        <v>3809</v>
      </c>
      <c r="G572" s="403" t="s">
        <v>3810</v>
      </c>
    </row>
    <row r="573" spans="1:7" ht="51" customHeight="1">
      <c r="A573" s="401">
        <v>570</v>
      </c>
      <c r="B573" s="929" t="s">
        <v>53</v>
      </c>
      <c r="C573" s="929" t="s">
        <v>3634</v>
      </c>
      <c r="D573" s="1723" t="str">
        <f t="shared" ref="D573:D603" si="9">INDEX($E$4:$G$604,$A573,$A$1)</f>
        <v>MOP-Nr.: Projektnummer der Minergie-Online-Plattform https://online.minergie.ch ; wird bei Projekteröffnung automatisch zugeteilt (Bsp. 51234)</v>
      </c>
      <c r="E573" s="402" t="s">
        <v>3633</v>
      </c>
      <c r="F573" s="2338" t="s">
        <v>3631</v>
      </c>
      <c r="G573" s="403" t="s">
        <v>3632</v>
      </c>
    </row>
    <row r="574" spans="1:7" ht="25.9" customHeight="1">
      <c r="A574" s="401">
        <v>571</v>
      </c>
      <c r="B574" s="929" t="s">
        <v>313</v>
      </c>
      <c r="C574" s="929" t="s">
        <v>888</v>
      </c>
      <c r="D574" s="1723" t="str">
        <f t="shared" si="9"/>
        <v>Rechenwert für Warmwasser nach SIA 380/1</v>
      </c>
      <c r="E574" s="402" t="s">
        <v>3637</v>
      </c>
      <c r="F574" s="2338" t="s">
        <v>3636</v>
      </c>
      <c r="G574" s="403" t="s">
        <v>3635</v>
      </c>
    </row>
    <row r="575" spans="1:7" ht="25.9" customHeight="1">
      <c r="A575" s="401">
        <v>572</v>
      </c>
      <c r="B575" s="929" t="s">
        <v>313</v>
      </c>
      <c r="C575" s="929" t="s">
        <v>3638</v>
      </c>
      <c r="D575" s="1723" t="str">
        <f t="shared" si="9"/>
        <v>Eingabefeld, falls Warmwasser nach 385 nachgewiesen wird</v>
      </c>
      <c r="E575" s="402" t="s">
        <v>3640</v>
      </c>
      <c r="F575" s="2338" t="s">
        <v>3639</v>
      </c>
      <c r="G575" s="403" t="s">
        <v>3641</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3643</v>
      </c>
      <c r="F576" s="2338" t="s">
        <v>3642</v>
      </c>
      <c r="G576" s="403" t="s">
        <v>3644</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3646</v>
      </c>
      <c r="F577" s="2338" t="s">
        <v>3645</v>
      </c>
      <c r="G577" s="403" t="s">
        <v>3647</v>
      </c>
    </row>
    <row r="578" spans="1:7" ht="42" customHeight="1">
      <c r="A578" s="401">
        <v>575</v>
      </c>
      <c r="B578" s="929" t="s">
        <v>313</v>
      </c>
      <c r="C578" s="929" t="s">
        <v>3648</v>
      </c>
      <c r="D578" s="1723" t="str">
        <f t="shared" si="9"/>
        <v>Anzahl Wohneinheiten: Bei Wohnbauten zwingend anzugeben. Die Definition der Wohnein-heiten ist im Kapitel 5.1.4 beschrieben.</v>
      </c>
      <c r="E578" s="402" t="s">
        <v>3650</v>
      </c>
      <c r="F578" s="2338" t="s">
        <v>3649</v>
      </c>
      <c r="G578" s="403" t="s">
        <v>3651</v>
      </c>
    </row>
    <row r="579" spans="1:7" ht="51.75" customHeight="1">
      <c r="A579" s="401">
        <v>576</v>
      </c>
      <c r="B579" s="929" t="s">
        <v>313</v>
      </c>
      <c r="C579" s="929" t="s">
        <v>3655</v>
      </c>
      <c r="D579" s="1723" t="str">
        <f t="shared" si="9"/>
        <v>Geräte: Angabe, ob Geräte von mindestens der vorgegebenen Effizienzkategorie eingesetzt werden oder nicht. Der Nachweis kann bei Bedarf von der Zertifizierungsstelle eingefordert werden.</v>
      </c>
      <c r="E579" s="402" t="s">
        <v>3653</v>
      </c>
      <c r="F579" s="2338" t="s">
        <v>3654</v>
      </c>
      <c r="G579" s="403" t="s">
        <v>3652</v>
      </c>
    </row>
    <row r="580" spans="1:7" ht="39.75" customHeight="1">
      <c r="A580" s="401">
        <v>577</v>
      </c>
      <c r="B580" s="929" t="s">
        <v>313</v>
      </c>
      <c r="C580" s="929" t="s">
        <v>3656</v>
      </c>
      <c r="D580" s="1723" t="str">
        <f t="shared" si="9"/>
        <v>Beleuchtung LED A++ &amp; Regelung: Angabe, ob die Allgemeinbeleuchtung der entsprechen-den Effizienzkategorie eingesetzt wird oder nicht.</v>
      </c>
      <c r="E580" s="402" t="s">
        <v>3658</v>
      </c>
      <c r="F580" s="2338" t="s">
        <v>3657</v>
      </c>
      <c r="G580" s="403" t="s">
        <v>3659</v>
      </c>
    </row>
    <row r="581" spans="1:7" ht="144" customHeight="1">
      <c r="A581" s="401">
        <v>578</v>
      </c>
      <c r="B581" s="929" t="s">
        <v>313</v>
      </c>
      <c r="C581" s="929" t="s">
        <v>3660</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3661</v>
      </c>
      <c r="F581" s="2338" t="s">
        <v>3662</v>
      </c>
      <c r="G581" s="403" t="s">
        <v>4969</v>
      </c>
    </row>
    <row r="582" spans="1:7" ht="36" customHeight="1">
      <c r="A582" s="401">
        <v>579</v>
      </c>
      <c r="B582" s="929" t="s">
        <v>313</v>
      </c>
      <c r="C582" s="929" t="s">
        <v>3663</v>
      </c>
      <c r="D582" s="1723" t="str">
        <f t="shared" si="9"/>
        <v>Beleuchtung: Umfassende Sanierung? Angabe bei Modernisierung, ob diese umfassend ist.</v>
      </c>
      <c r="E582" s="402" t="s">
        <v>3664</v>
      </c>
      <c r="F582" s="2338" t="s">
        <v>3665</v>
      </c>
      <c r="G582" s="403" t="s">
        <v>3666</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3667</v>
      </c>
      <c r="F583" s="2338" t="s">
        <v>3668</v>
      </c>
      <c r="G583" s="403" t="s">
        <v>3669</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3670</v>
      </c>
      <c r="F584" s="2338" t="s">
        <v>3671</v>
      </c>
      <c r="G584" s="403" t="s">
        <v>4970</v>
      </c>
    </row>
    <row r="585" spans="1:7" ht="62.25" customHeight="1">
      <c r="A585" s="401">
        <v>582</v>
      </c>
      <c r="B585" s="929" t="s">
        <v>313</v>
      </c>
      <c r="C585" s="929" t="s">
        <v>3672</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3674</v>
      </c>
      <c r="F585" s="2338" t="s">
        <v>3675</v>
      </c>
      <c r="G585" s="403" t="s">
        <v>3676</v>
      </c>
    </row>
    <row r="586" spans="1:7" ht="51.75" customHeight="1">
      <c r="A586" s="401">
        <v>583</v>
      </c>
      <c r="B586" s="929" t="s">
        <v>313</v>
      </c>
      <c r="C586" s="929" t="s">
        <v>3686</v>
      </c>
      <c r="D586" s="1723" t="str">
        <f t="shared" si="9"/>
        <v>Beleuchtung: Es ist der Mittelwert zwischen Grenz- und Zielwert nach SIA387/4 (ungewichtet) aus dem Berechnungstool zu übertragen. Bei Zweckbauten &gt;250m2 zwingend, bei &lt;250m2 zulässig.</v>
      </c>
      <c r="E586" s="402" t="s">
        <v>3677</v>
      </c>
      <c r="F586" s="2338" t="s">
        <v>3678</v>
      </c>
      <c r="G586" s="403" t="s">
        <v>4971</v>
      </c>
    </row>
    <row r="587" spans="1:7" ht="50.25" customHeight="1">
      <c r="A587" s="401">
        <v>584</v>
      </c>
      <c r="B587" s="929" t="s">
        <v>313</v>
      </c>
      <c r="C587" s="929" t="s">
        <v>3687</v>
      </c>
      <c r="D587" s="1723" t="str">
        <f t="shared" si="9"/>
        <v>Beleuchtung: Es ist der Projektwert (ungewichtet) aus dem Berechnungstool nach SIA387/4, zu übertragen. Bei Zweckbauten&gt;250m2 zwingend, bei &lt;250m2 zulässig</v>
      </c>
      <c r="E587" s="402" t="s">
        <v>3680</v>
      </c>
      <c r="F587" s="2338" t="s">
        <v>3681</v>
      </c>
      <c r="G587" s="403" t="s">
        <v>3682</v>
      </c>
    </row>
    <row r="588" spans="1:7" ht="25.9" customHeight="1">
      <c r="A588" s="401">
        <v>585</v>
      </c>
      <c r="B588" s="929" t="s">
        <v>313</v>
      </c>
      <c r="C588" s="929" t="s">
        <v>3679</v>
      </c>
      <c r="D588" s="1723" t="str">
        <f t="shared" si="9"/>
        <v>Anforderung Beleuchtung eingehalten: Wird automatisch ausgefüllt.</v>
      </c>
      <c r="E588" s="402" t="s">
        <v>3683</v>
      </c>
      <c r="F588" s="2338" t="s">
        <v>3684</v>
      </c>
      <c r="G588" s="403" t="s">
        <v>3685</v>
      </c>
    </row>
    <row r="589" spans="1:7" ht="62.25" customHeight="1">
      <c r="A589" s="401">
        <v>586</v>
      </c>
      <c r="B589" s="929" t="s">
        <v>313</v>
      </c>
      <c r="C589" s="929" t="s">
        <v>3688</v>
      </c>
      <c r="D589" s="1723" t="str">
        <f t="shared" si="9"/>
        <v>Spezifischer Jahresertrag: Aus dem PVopti (Blatt «Resultate, Feld M38)) bzw. aus dem PVGis zu übertragen. Falls keine Eingabe gemacht wird, wird mit 800kWh/kWp gerechnet.</v>
      </c>
      <c r="E589" s="402" t="s">
        <v>3690</v>
      </c>
      <c r="F589" s="2338" t="s">
        <v>3691</v>
      </c>
      <c r="G589" s="403" t="s">
        <v>3692</v>
      </c>
    </row>
    <row r="590" spans="1:7" ht="66" customHeight="1">
      <c r="A590" s="401">
        <v>587</v>
      </c>
      <c r="B590" s="929" t="s">
        <v>313</v>
      </c>
      <c r="C590" s="929" t="s">
        <v>3689</v>
      </c>
      <c r="D590" s="1723" t="str">
        <f t="shared" si="9"/>
        <v>Eigenverbrauchsrate: Aus dem PVopti (Blatt «Resultate», Feld M36) zu übertragen. Falls keine Eingabe gemacht wird, wird mit 20% gerechnet. Für EFH ist eine Formel hinterlegt, die die Eigenverbrauchsrate berechnet.</v>
      </c>
      <c r="E590" s="402" t="s">
        <v>3693</v>
      </c>
      <c r="F590" s="2338" t="s">
        <v>3694</v>
      </c>
      <c r="G590" s="403" t="s">
        <v>3695</v>
      </c>
    </row>
    <row r="591" spans="1:7" ht="48.75" customHeight="1">
      <c r="A591" s="401">
        <v>588</v>
      </c>
      <c r="B591" s="929" t="s">
        <v>313</v>
      </c>
      <c r="C591" s="929" t="s">
        <v>3696</v>
      </c>
      <c r="D591" s="1723" t="str">
        <f t="shared" si="9"/>
        <v>Spezifische, installierte Leistung pro m2 EBF: Keine Eingabe nötig, wird automatisch berechnet.</v>
      </c>
      <c r="E591" s="402" t="s">
        <v>3697</v>
      </c>
      <c r="F591" s="2338" t="s">
        <v>3698</v>
      </c>
      <c r="G591" s="403" t="s">
        <v>3699</v>
      </c>
    </row>
    <row r="592" spans="1:7" ht="47.25" customHeight="1">
      <c r="A592" s="401">
        <v>589</v>
      </c>
      <c r="B592" s="929" t="s">
        <v>313</v>
      </c>
      <c r="C592" s="929" t="s">
        <v>3700</v>
      </c>
      <c r="D592" s="1723" t="str">
        <f t="shared" si="9"/>
        <v xml:space="preserve">Minimale Grösse der Eigenstromerzeugung: Wird anhand der EBF automatisch berechnet. </v>
      </c>
      <c r="E592" s="402" t="s">
        <v>3701</v>
      </c>
      <c r="F592" s="2338" t="s">
        <v>3702</v>
      </c>
      <c r="G592" s="403" t="s">
        <v>3703</v>
      </c>
    </row>
    <row r="593" spans="1:7" ht="39" customHeight="1">
      <c r="A593" s="401">
        <v>590</v>
      </c>
      <c r="B593" s="929" t="s">
        <v>313</v>
      </c>
      <c r="C593" s="929" t="s">
        <v>3704</v>
      </c>
      <c r="D593" s="1723" t="str">
        <f t="shared" si="9"/>
        <v>Stromproduktion deckt Bedarf: Zeigt bei Projekten nach Minergie-A an, ob die Eigens-tromproduktion den Bedarf deckt.</v>
      </c>
      <c r="E593" s="402" t="s">
        <v>3705</v>
      </c>
      <c r="F593" s="2338" t="s">
        <v>3706</v>
      </c>
      <c r="G593" s="403" t="s">
        <v>3707</v>
      </c>
    </row>
    <row r="594" spans="1:7" ht="51.75" customHeight="1">
      <c r="A594" s="401">
        <v>591</v>
      </c>
      <c r="B594" s="929" t="s">
        <v>313</v>
      </c>
      <c r="C594" s="929" t="s">
        <v>3708</v>
      </c>
      <c r="D594" s="1723" t="str">
        <f t="shared" si="9"/>
        <v xml:space="preserve">Luftdichtheit: Minergie: Angabe, ob Nachweis zum Luftdichtheitskonzept beiliegt. Minergie-P/-A: Angabe ob ein Messkonzept zur Luftdichtheit beiliegt, sofern dieses gefordert wird. </v>
      </c>
      <c r="E594" s="402" t="s">
        <v>3709</v>
      </c>
      <c r="F594" s="2338" t="s">
        <v>3710</v>
      </c>
      <c r="G594" s="403" t="s">
        <v>3711</v>
      </c>
    </row>
    <row r="595" spans="1:7" ht="51.75" customHeight="1">
      <c r="A595" s="401">
        <v>592</v>
      </c>
      <c r="B595" s="929" t="s">
        <v>313</v>
      </c>
      <c r="C595" s="929" t="s">
        <v>1915</v>
      </c>
      <c r="D595" s="1723" t="str">
        <f t="shared" si="9"/>
        <v>Warmwasser: Gilt für Kategorien Restaurants, Sportbauten und Hallenbäder. Mindestens 20% des Warmwasserbedarfs ist mit erneuerbaren Energien, zu decken.</v>
      </c>
      <c r="E595" s="402" t="s">
        <v>3714</v>
      </c>
      <c r="F595" s="2338" t="s">
        <v>3715</v>
      </c>
      <c r="G595" s="403" t="s">
        <v>3716</v>
      </c>
    </row>
    <row r="596" spans="1:7" ht="39.75" customHeight="1">
      <c r="A596" s="401">
        <v>593</v>
      </c>
      <c r="B596" s="929" t="s">
        <v>313</v>
      </c>
      <c r="C596" s="929" t="s">
        <v>3712</v>
      </c>
      <c r="D596" s="1723" t="str">
        <f t="shared" si="9"/>
        <v>Einsatz erneuerbarer Energien: Angabe, ob die Vorgabe von max. 30% fossile Spitzenlastab-deckung erfüllt wird.</v>
      </c>
      <c r="E596" s="402" t="s">
        <v>3717</v>
      </c>
      <c r="F596" s="2338" t="s">
        <v>3718</v>
      </c>
      <c r="G596" s="403" t="s">
        <v>3719</v>
      </c>
    </row>
    <row r="597" spans="1:7" ht="37.5" customHeight="1">
      <c r="A597" s="401">
        <v>594</v>
      </c>
      <c r="B597" s="929" t="s">
        <v>313</v>
      </c>
      <c r="C597" s="929" t="s">
        <v>3713</v>
      </c>
      <c r="D597" s="1723" t="str">
        <f t="shared" si="9"/>
        <v>Abwärme: Angabe, ob Abwärme anfällt oder nicht. Falls Abwärme anfällt, muss diese genutzt werden.</v>
      </c>
      <c r="E597" s="402" t="s">
        <v>3720</v>
      </c>
      <c r="F597" s="2338" t="s">
        <v>3721</v>
      </c>
      <c r="G597" s="403" t="s">
        <v>3722</v>
      </c>
    </row>
    <row r="598" spans="1:7" ht="50.25" customHeight="1">
      <c r="A598" s="401">
        <v>595</v>
      </c>
      <c r="B598" s="929" t="s">
        <v>313</v>
      </c>
      <c r="C598" s="929" t="s">
        <v>3723</v>
      </c>
      <c r="D598" s="1723" t="str">
        <f t="shared" si="9"/>
        <v>Nutzung Abwärme: Nur relevant, wenn Abwärme anfällt. Falls Abwärme genutzt wird, Nach-weis beilegen wie die Nutzung vorgesehen ist.</v>
      </c>
      <c r="E598" s="402" t="s">
        <v>3725</v>
      </c>
      <c r="F598" s="2338" t="s">
        <v>3726</v>
      </c>
      <c r="G598" s="403" t="s">
        <v>3727</v>
      </c>
    </row>
    <row r="599" spans="1:7" ht="42.75" customHeight="1">
      <c r="A599" s="401">
        <v>596</v>
      </c>
      <c r="B599" s="929" t="s">
        <v>313</v>
      </c>
      <c r="C599" s="929" t="s">
        <v>3724</v>
      </c>
      <c r="D599" s="1723" t="str">
        <f t="shared" si="9"/>
        <v>Monitoringkonzept: Angabe ob Monitoringkonzept vorliegt (nur für Gebäude &gt; 2'000 m2 und für alle Gebäude nach Standard Minergie-A).</v>
      </c>
      <c r="E599" s="402" t="s">
        <v>3728</v>
      </c>
      <c r="F599" s="2338" t="s">
        <v>3729</v>
      </c>
      <c r="G599" s="403" t="s">
        <v>3730</v>
      </c>
    </row>
    <row r="600" spans="1:7" ht="25.9" customHeight="1">
      <c r="A600" s="401">
        <v>597</v>
      </c>
      <c r="B600" s="929" t="s">
        <v>313</v>
      </c>
      <c r="C600" s="929" t="s">
        <v>3731</v>
      </c>
      <c r="D600" s="1723" t="str">
        <f t="shared" si="9"/>
        <v>Leerrohre Elektromobilität: Angabe, ob Leerrohre vorgesehen sind.</v>
      </c>
      <c r="E600" s="402" t="s">
        <v>3732</v>
      </c>
      <c r="F600" s="2338" t="s">
        <v>3733</v>
      </c>
      <c r="G600" s="403" t="s">
        <v>3734</v>
      </c>
    </row>
    <row r="601" spans="1:7" ht="53.25" customHeight="1">
      <c r="A601" s="401">
        <v>598</v>
      </c>
      <c r="B601" s="929" t="s">
        <v>1747</v>
      </c>
      <c r="C601" s="929" t="s">
        <v>886</v>
      </c>
      <c r="D601" s="1723" t="str">
        <f t="shared" si="9"/>
        <v>Sonnenschutz: Wahl des Sonnenschutztyps. Wenn „andere“ gewählt wird, ist der Typ, g-Wert und Produktebezeichnung anzugeben</v>
      </c>
      <c r="E601" s="402" t="s">
        <v>3735</v>
      </c>
      <c r="F601" s="2338" t="s">
        <v>3736</v>
      </c>
      <c r="G601" s="403" t="s">
        <v>3737</v>
      </c>
    </row>
    <row r="602" spans="1:7" ht="54" customHeight="1">
      <c r="A602" s="401">
        <v>599</v>
      </c>
      <c r="B602" s="929" t="s">
        <v>1747</v>
      </c>
      <c r="C602" s="929" t="s">
        <v>3738</v>
      </c>
      <c r="D602" s="1723" t="str">
        <f t="shared" si="9"/>
        <v>Kriterien: Angabe, ob die Räume in der Zone die Kriterien erfüllen.
Die maximale Glasflächenzahl ist abhängig von der Klimastation.</v>
      </c>
      <c r="E602" s="402" t="s">
        <v>3739</v>
      </c>
      <c r="F602" s="2338" t="s">
        <v>3740</v>
      </c>
      <c r="G602" s="403" t="s">
        <v>3741</v>
      </c>
    </row>
    <row r="603" spans="1:7" ht="51" customHeight="1">
      <c r="A603" s="401">
        <v>600</v>
      </c>
      <c r="B603" s="929" t="s">
        <v>1747</v>
      </c>
      <c r="C603" s="929" t="s">
        <v>900</v>
      </c>
      <c r="D603" s="1723" t="str">
        <f t="shared" si="9"/>
        <v>Variante 2 Bauliche Anforderungen: Angabe, ob die Anforderungen an baulichen SoWS gemäss Nachweis SoWS Variante 2 (separates Dokument) erfüllt sind.</v>
      </c>
      <c r="E603" s="402" t="s">
        <v>3742</v>
      </c>
      <c r="F603" s="2338" t="s">
        <v>3743</v>
      </c>
      <c r="G603" s="403" t="s">
        <v>3745</v>
      </c>
    </row>
    <row r="604" spans="1:7" ht="43.5" customHeight="1">
      <c r="A604" s="401">
        <v>601</v>
      </c>
      <c r="B604" s="929" t="s">
        <v>1747</v>
      </c>
      <c r="C604" s="929" t="s">
        <v>3435</v>
      </c>
      <c r="D604" s="1723" t="str">
        <f t="shared" ref="D604:D635" si="10">INDEX($E$4:$G$806,$A604,$A$1)</f>
        <v>Variante 2 Komfortkriterien: Angabe, ob die Komfortkriterien gemäss Nachweis SoWS Variante 2 (separates Dokument) erfüllt sind.</v>
      </c>
      <c r="E604" s="402" t="s">
        <v>3746</v>
      </c>
      <c r="F604" s="2338" t="s">
        <v>3744</v>
      </c>
      <c r="G604" s="403" t="s">
        <v>3745</v>
      </c>
    </row>
    <row r="605" spans="1:7" ht="39.75" customHeight="1">
      <c r="A605" s="401">
        <v>602</v>
      </c>
      <c r="B605" s="929" t="s">
        <v>1747</v>
      </c>
      <c r="C605" s="929" t="s">
        <v>3672</v>
      </c>
      <c r="D605" s="2343" t="str">
        <f t="shared" si="10"/>
        <v>Variante 3 SIA 180: Angabe, ob die Temperaturgrenzwerte nach SIA 180 ohne Kühlung nicht überschritten werden</v>
      </c>
      <c r="E605" s="402" t="s">
        <v>3747</v>
      </c>
      <c r="F605" s="2338" t="s">
        <v>3748</v>
      </c>
      <c r="G605" s="403" t="s">
        <v>3749</v>
      </c>
    </row>
    <row r="606" spans="1:7" ht="42" customHeight="1">
      <c r="A606" s="401">
        <v>603</v>
      </c>
      <c r="B606" s="929" t="s">
        <v>1747</v>
      </c>
      <c r="C606" s="929" t="s">
        <v>3673</v>
      </c>
      <c r="D606" s="2343" t="str">
        <f t="shared" si="10"/>
        <v>Variante 3 Kühlung: Angabe, ob die geplante Kühlung ausreicht und der Energiebedarf berechnet wurde.</v>
      </c>
      <c r="E606" s="402" t="s">
        <v>3750</v>
      </c>
      <c r="F606" s="2338" t="s">
        <v>3751</v>
      </c>
      <c r="G606" s="403" t="s">
        <v>4972</v>
      </c>
    </row>
    <row r="607" spans="1:7" ht="25.9" customHeight="1">
      <c r="A607" s="401">
        <v>604</v>
      </c>
      <c r="B607" s="929" t="s">
        <v>4025</v>
      </c>
      <c r="C607" s="929" t="s">
        <v>4771</v>
      </c>
      <c r="D607" s="2343" t="str">
        <f t="shared" si="10"/>
        <v>Zusatzangaben</v>
      </c>
      <c r="E607" s="402" t="s">
        <v>4023</v>
      </c>
      <c r="F607" s="2338" t="s">
        <v>4833</v>
      </c>
      <c r="G607" s="2230" t="s">
        <v>4925</v>
      </c>
    </row>
    <row r="608" spans="1:7" ht="25.9" customHeight="1">
      <c r="A608" s="401">
        <v>605</v>
      </c>
      <c r="B608" s="929" t="s">
        <v>4025</v>
      </c>
      <c r="C608" s="929" t="s">
        <v>1751</v>
      </c>
      <c r="D608" s="2343" t="str">
        <f t="shared" si="10"/>
        <v>Art des Nachweises</v>
      </c>
      <c r="E608" s="402" t="s">
        <v>825</v>
      </c>
      <c r="F608" s="2338" t="s">
        <v>4834</v>
      </c>
      <c r="G608" s="2230" t="s">
        <v>1245</v>
      </c>
    </row>
    <row r="609" spans="1:7" ht="25.9" customHeight="1">
      <c r="A609" s="401">
        <v>606</v>
      </c>
      <c r="B609" s="929" t="s">
        <v>4025</v>
      </c>
      <c r="C609" s="929" t="s">
        <v>1755</v>
      </c>
      <c r="D609" s="2343" t="str">
        <f t="shared" si="10"/>
        <v>Benutzereingaben</v>
      </c>
      <c r="E609" s="402" t="s">
        <v>4024</v>
      </c>
      <c r="F609" s="2338" t="s">
        <v>4835</v>
      </c>
      <c r="G609" s="2230" t="s">
        <v>4926</v>
      </c>
    </row>
    <row r="610" spans="1:7" ht="25.9" customHeight="1">
      <c r="A610" s="401">
        <v>607</v>
      </c>
      <c r="B610" s="929" t="s">
        <v>4025</v>
      </c>
      <c r="C610" s="929" t="s">
        <v>4772</v>
      </c>
      <c r="D610" s="2343" t="str">
        <f t="shared" si="10"/>
        <v>zur Erstellung von Neubauten</v>
      </c>
      <c r="E610" s="402" t="s">
        <v>4770</v>
      </c>
      <c r="F610" s="2338" t="s">
        <v>4965</v>
      </c>
      <c r="G610" s="2230" t="s">
        <v>4781</v>
      </c>
    </row>
    <row r="611" spans="1:7" ht="25.9" customHeight="1">
      <c r="A611" s="401">
        <v>608</v>
      </c>
      <c r="B611" s="929" t="s">
        <v>4025</v>
      </c>
      <c r="C611" s="929" t="s">
        <v>488</v>
      </c>
      <c r="D611" s="2343" t="str">
        <f t="shared" si="10"/>
        <v>Geschossfläche</v>
      </c>
      <c r="E611" s="402" t="s">
        <v>4026</v>
      </c>
      <c r="F611" s="2338" t="s">
        <v>4836</v>
      </c>
      <c r="G611" s="2230" t="s">
        <v>4782</v>
      </c>
    </row>
    <row r="612" spans="1:7" ht="25.9" customHeight="1">
      <c r="A612" s="401">
        <v>609</v>
      </c>
      <c r="B612" s="929" t="s">
        <v>4025</v>
      </c>
      <c r="C612" s="929" t="s">
        <v>865</v>
      </c>
      <c r="D612" s="2343" t="str">
        <f t="shared" si="10"/>
        <v>Bauweise</v>
      </c>
      <c r="E612" s="402" t="s">
        <v>4027</v>
      </c>
      <c r="F612" s="2338" t="s">
        <v>4837</v>
      </c>
      <c r="G612" s="2230" t="s">
        <v>4783</v>
      </c>
    </row>
    <row r="613" spans="1:7" ht="25.9" customHeight="1">
      <c r="A613" s="401">
        <v>610</v>
      </c>
      <c r="B613" s="929" t="s">
        <v>4025</v>
      </c>
      <c r="C613" s="929" t="s">
        <v>513</v>
      </c>
      <c r="D613" s="2343" t="str">
        <f t="shared" si="10"/>
        <v>Einsatz von CO2-angereichertem Beton</v>
      </c>
      <c r="E613" s="402" t="s">
        <v>4028</v>
      </c>
      <c r="F613" s="2338" t="s">
        <v>4838</v>
      </c>
      <c r="G613" s="2230" t="s">
        <v>4784</v>
      </c>
    </row>
    <row r="614" spans="1:7" ht="25.9" customHeight="1">
      <c r="A614" s="401">
        <v>611</v>
      </c>
      <c r="B614" s="929" t="s">
        <v>4025</v>
      </c>
      <c r="C614" s="929" t="s">
        <v>867</v>
      </c>
      <c r="D614" s="2343" t="str">
        <f t="shared" si="10"/>
        <v>Fensteranteil</v>
      </c>
      <c r="E614" s="402" t="s">
        <v>4029</v>
      </c>
      <c r="F614" s="2338" t="s">
        <v>4839</v>
      </c>
      <c r="G614" s="2230" t="s">
        <v>4785</v>
      </c>
    </row>
    <row r="615" spans="1:7" ht="25.9" customHeight="1">
      <c r="A615" s="401">
        <v>612</v>
      </c>
      <c r="B615" s="929" t="s">
        <v>4025</v>
      </c>
      <c r="C615" s="929" t="s">
        <v>868</v>
      </c>
      <c r="D615" s="2343" t="str">
        <f t="shared" si="10"/>
        <v>Deckenstärke</v>
      </c>
      <c r="E615" s="402" t="s">
        <v>4030</v>
      </c>
      <c r="F615" s="2338" t="s">
        <v>4840</v>
      </c>
      <c r="G615" s="2230" t="s">
        <v>4786</v>
      </c>
    </row>
    <row r="616" spans="1:7" ht="25.9" customHeight="1">
      <c r="A616" s="401">
        <v>613</v>
      </c>
      <c r="B616" s="929" t="s">
        <v>4025</v>
      </c>
      <c r="C616" s="929" t="s">
        <v>1760</v>
      </c>
      <c r="D616" s="2343" t="str">
        <f t="shared" si="10"/>
        <v>UG-Gestaltung</v>
      </c>
      <c r="E616" s="402" t="s">
        <v>4031</v>
      </c>
      <c r="F616" s="2338" t="s">
        <v>4841</v>
      </c>
      <c r="G616" s="2230" t="s">
        <v>4927</v>
      </c>
    </row>
    <row r="617" spans="1:7" ht="25.9" customHeight="1">
      <c r="A617" s="401">
        <v>614</v>
      </c>
      <c r="B617" s="929" t="s">
        <v>4025</v>
      </c>
      <c r="C617" s="929" t="s">
        <v>866</v>
      </c>
      <c r="D617" s="2343" t="str">
        <f t="shared" si="10"/>
        <v>Tragstruktur</v>
      </c>
      <c r="E617" s="402" t="s">
        <v>4032</v>
      </c>
      <c r="F617" s="2338" t="s">
        <v>4842</v>
      </c>
      <c r="G617" s="2230" t="s">
        <v>4787</v>
      </c>
    </row>
    <row r="618" spans="1:7" ht="25.9" customHeight="1">
      <c r="A618" s="401">
        <v>615</v>
      </c>
      <c r="B618" s="929" t="s">
        <v>4025</v>
      </c>
      <c r="C618" s="929" t="s">
        <v>496</v>
      </c>
      <c r="D618" s="2343" t="str">
        <f t="shared" si="10"/>
        <v>Fundation</v>
      </c>
      <c r="E618" s="402" t="s">
        <v>4033</v>
      </c>
      <c r="F618" s="2338" t="s">
        <v>4843</v>
      </c>
      <c r="G618" s="2230" t="s">
        <v>4788</v>
      </c>
    </row>
    <row r="619" spans="1:7" ht="25.9" customHeight="1">
      <c r="A619" s="401">
        <v>616</v>
      </c>
      <c r="B619" s="929" t="s">
        <v>4025</v>
      </c>
      <c r="C619" s="929" t="s">
        <v>551</v>
      </c>
      <c r="D619" s="2343" t="str">
        <f t="shared" si="10"/>
        <v>Baugrube</v>
      </c>
      <c r="E619" s="402" t="s">
        <v>4034</v>
      </c>
      <c r="F619" s="2338" t="s">
        <v>4844</v>
      </c>
      <c r="G619" s="2230" t="s">
        <v>4928</v>
      </c>
    </row>
    <row r="620" spans="1:7" ht="25.9" customHeight="1">
      <c r="A620" s="401">
        <v>617</v>
      </c>
      <c r="B620" s="929" t="s">
        <v>4025</v>
      </c>
      <c r="D620" s="2343" t="str">
        <f t="shared" si="10"/>
        <v>Eingriffstiefe Dach</v>
      </c>
      <c r="E620" s="402" t="s">
        <v>4035</v>
      </c>
      <c r="F620" s="2338" t="s">
        <v>4845</v>
      </c>
      <c r="G620" s="2230" t="s">
        <v>4929</v>
      </c>
    </row>
    <row r="621" spans="1:7" ht="25.9" customHeight="1">
      <c r="A621" s="401">
        <v>618</v>
      </c>
      <c r="B621" s="929" t="s">
        <v>4025</v>
      </c>
      <c r="D621" s="2343" t="str">
        <f t="shared" si="10"/>
        <v>Eingriffstiefe Fassade</v>
      </c>
      <c r="E621" s="402" t="s">
        <v>4036</v>
      </c>
      <c r="F621" s="2338" t="s">
        <v>4846</v>
      </c>
      <c r="G621" s="2230" t="s">
        <v>4930</v>
      </c>
    </row>
    <row r="622" spans="1:7" ht="25.9" customHeight="1">
      <c r="A622" s="401">
        <v>619</v>
      </c>
      <c r="B622" s="929" t="s">
        <v>4025</v>
      </c>
      <c r="D622" s="2343" t="str">
        <f t="shared" si="10"/>
        <v>Eingriffstiefe Ausbau</v>
      </c>
      <c r="E622" s="402" t="s">
        <v>4037</v>
      </c>
      <c r="F622" s="2338" t="s">
        <v>4847</v>
      </c>
      <c r="G622" s="2230" t="s">
        <v>4931</v>
      </c>
    </row>
    <row r="623" spans="1:7" ht="25.9" customHeight="1">
      <c r="A623" s="401">
        <v>620</v>
      </c>
      <c r="B623" s="929" t="s">
        <v>4025</v>
      </c>
      <c r="D623" s="2343" t="str">
        <f t="shared" si="10"/>
        <v>Fensterersatz</v>
      </c>
      <c r="E623" s="402" t="s">
        <v>4038</v>
      </c>
      <c r="F623" s="2338" t="s">
        <v>4848</v>
      </c>
      <c r="G623" s="2230" t="s">
        <v>4789</v>
      </c>
    </row>
    <row r="624" spans="1:7" ht="25.9" customHeight="1">
      <c r="A624" s="401">
        <v>621</v>
      </c>
      <c r="B624" s="929" t="s">
        <v>4025</v>
      </c>
      <c r="D624" s="2343" t="str">
        <f t="shared" si="10"/>
        <v>Eingriffstiefe Gebäudetechnik</v>
      </c>
      <c r="E624" s="402" t="s">
        <v>4039</v>
      </c>
      <c r="F624" s="2338" t="s">
        <v>4849</v>
      </c>
      <c r="G624" s="2230" t="s">
        <v>4932</v>
      </c>
    </row>
    <row r="625" spans="1:7" ht="25.9" customHeight="1">
      <c r="A625" s="401">
        <v>622</v>
      </c>
      <c r="B625" s="929" t="s">
        <v>4978</v>
      </c>
      <c r="C625" s="929" t="s">
        <v>4979</v>
      </c>
      <c r="D625" s="2343" t="str">
        <f t="shared" si="10"/>
        <v>kein UG vorhanden</v>
      </c>
      <c r="E625" s="402" t="s">
        <v>4040</v>
      </c>
      <c r="F625" s="2338" t="s">
        <v>4850</v>
      </c>
      <c r="G625" s="2230" t="s">
        <v>4933</v>
      </c>
    </row>
    <row r="626" spans="1:7" ht="25.9" customHeight="1">
      <c r="A626" s="401">
        <v>623</v>
      </c>
      <c r="B626" s="2339" t="s">
        <v>4978</v>
      </c>
      <c r="C626" s="2339" t="s">
        <v>4980</v>
      </c>
      <c r="D626" s="2343" t="str">
        <f t="shared" si="10"/>
        <v>UG kleiner als GGF</v>
      </c>
      <c r="E626" s="402" t="s">
        <v>4041</v>
      </c>
      <c r="F626" s="2338" t="s">
        <v>4957</v>
      </c>
      <c r="G626" s="2230" t="s">
        <v>4973</v>
      </c>
    </row>
    <row r="627" spans="1:7" ht="25.9" customHeight="1">
      <c r="A627" s="401">
        <v>624</v>
      </c>
      <c r="B627" s="2339" t="s">
        <v>4978</v>
      </c>
      <c r="C627" s="2339" t="s">
        <v>4981</v>
      </c>
      <c r="D627" s="2343" t="str">
        <f t="shared" si="10"/>
        <v>UG vollständig innerhalb GGF</v>
      </c>
      <c r="E627" s="402" t="s">
        <v>4042</v>
      </c>
      <c r="F627" s="2338" t="s">
        <v>4958</v>
      </c>
      <c r="G627" s="2230" t="s">
        <v>4974</v>
      </c>
    </row>
    <row r="628" spans="1:7" ht="25.9" customHeight="1">
      <c r="A628" s="401">
        <v>625</v>
      </c>
      <c r="B628" s="2339" t="s">
        <v>4978</v>
      </c>
      <c r="C628" s="2339" t="s">
        <v>4982</v>
      </c>
      <c r="D628" s="2343" t="str">
        <f t="shared" si="10"/>
        <v>UG teilweise ausserhalb GGF</v>
      </c>
      <c r="E628" s="402" t="s">
        <v>4043</v>
      </c>
      <c r="F628" s="2338" t="s">
        <v>4959</v>
      </c>
      <c r="G628" s="2230" t="s">
        <v>4975</v>
      </c>
    </row>
    <row r="629" spans="1:7" ht="25.9" customHeight="1">
      <c r="A629" s="401">
        <v>626</v>
      </c>
      <c r="B629" s="2339" t="s">
        <v>4978</v>
      </c>
      <c r="C629" s="2339" t="s">
        <v>4983</v>
      </c>
      <c r="D629" s="2343" t="str">
        <f t="shared" si="10"/>
        <v>UG deutlich grösser als GGF oder zweistöckig</v>
      </c>
      <c r="E629" s="402" t="s">
        <v>4044</v>
      </c>
      <c r="F629" s="2338" t="s">
        <v>4960</v>
      </c>
      <c r="G629" s="2230" t="s">
        <v>4976</v>
      </c>
    </row>
    <row r="630" spans="1:7" ht="25.9" customHeight="1">
      <c r="A630" s="401">
        <v>627</v>
      </c>
      <c r="B630" s="2339" t="s">
        <v>4978</v>
      </c>
      <c r="C630" s="929" t="s">
        <v>4984</v>
      </c>
      <c r="D630" s="2343" t="str">
        <f t="shared" si="10"/>
        <v>schwerer Massivbau</v>
      </c>
      <c r="E630" s="402" t="s">
        <v>4045</v>
      </c>
      <c r="F630" s="2338" t="s">
        <v>4851</v>
      </c>
      <c r="G630" s="2230" t="s">
        <v>4790</v>
      </c>
    </row>
    <row r="631" spans="1:7" ht="25.9" customHeight="1">
      <c r="A631" s="401">
        <v>628</v>
      </c>
      <c r="B631" s="2339" t="s">
        <v>4978</v>
      </c>
      <c r="C631" s="2339" t="s">
        <v>4985</v>
      </c>
      <c r="D631" s="2343" t="str">
        <f t="shared" si="10"/>
        <v>leichter Massivbau</v>
      </c>
      <c r="E631" s="402" t="s">
        <v>4046</v>
      </c>
      <c r="F631" s="2338" t="s">
        <v>4852</v>
      </c>
      <c r="G631" s="2230" t="s">
        <v>4791</v>
      </c>
    </row>
    <row r="632" spans="1:7" ht="25.9" customHeight="1">
      <c r="A632" s="401">
        <v>629</v>
      </c>
      <c r="B632" s="2339" t="s">
        <v>4978</v>
      </c>
      <c r="C632" s="2339" t="s">
        <v>4986</v>
      </c>
      <c r="D632" s="2343" t="str">
        <f t="shared" si="10"/>
        <v>schwerer Holzbau</v>
      </c>
      <c r="E632" s="402" t="s">
        <v>4047</v>
      </c>
      <c r="F632" s="2338" t="s">
        <v>4853</v>
      </c>
      <c r="G632" s="2230" t="s">
        <v>4792</v>
      </c>
    </row>
    <row r="633" spans="1:7" ht="25.9" customHeight="1">
      <c r="A633" s="401">
        <v>630</v>
      </c>
      <c r="B633" s="2339" t="s">
        <v>4978</v>
      </c>
      <c r="C633" s="2339" t="s">
        <v>4987</v>
      </c>
      <c r="D633" s="2343" t="str">
        <f t="shared" si="10"/>
        <v>leichter Holzbau</v>
      </c>
      <c r="E633" s="402" t="s">
        <v>4048</v>
      </c>
      <c r="F633" s="2338" t="s">
        <v>4854</v>
      </c>
      <c r="G633" s="2230" t="s">
        <v>4793</v>
      </c>
    </row>
    <row r="634" spans="1:7" ht="25.9" customHeight="1">
      <c r="A634" s="401">
        <v>631</v>
      </c>
      <c r="B634" s="2339" t="s">
        <v>4978</v>
      </c>
      <c r="C634" s="2339" t="s">
        <v>4988</v>
      </c>
      <c r="D634" s="2343" t="str">
        <f t="shared" si="10"/>
        <v>Hybridbau</v>
      </c>
      <c r="E634" s="402" t="s">
        <v>4049</v>
      </c>
      <c r="F634" s="2338" t="s">
        <v>4855</v>
      </c>
      <c r="G634" s="2230" t="s">
        <v>4794</v>
      </c>
    </row>
    <row r="635" spans="1:7" ht="25.9" customHeight="1">
      <c r="A635" s="401">
        <v>632</v>
      </c>
      <c r="B635" s="2339" t="s">
        <v>4978</v>
      </c>
      <c r="C635" s="2339" t="s">
        <v>4989</v>
      </c>
      <c r="D635" s="2343" t="str">
        <f t="shared" si="10"/>
        <v>Glasbau</v>
      </c>
      <c r="E635" s="402" t="s">
        <v>4050</v>
      </c>
      <c r="F635" s="2338" t="s">
        <v>4856</v>
      </c>
      <c r="G635" s="2230" t="s">
        <v>4795</v>
      </c>
    </row>
    <row r="636" spans="1:7" ht="25.9" customHeight="1">
      <c r="A636" s="401">
        <v>633</v>
      </c>
      <c r="B636" s="2339" t="s">
        <v>4978</v>
      </c>
      <c r="C636" s="2339" t="s">
        <v>3263</v>
      </c>
      <c r="D636" s="2343" t="str">
        <f t="shared" ref="D636:D667" si="11">INDEX($E$4:$G$806,$A636,$A$1)</f>
        <v>Stahlbau</v>
      </c>
      <c r="E636" s="402" t="s">
        <v>4051</v>
      </c>
      <c r="F636" s="2338" t="s">
        <v>4857</v>
      </c>
      <c r="G636" s="2230" t="s">
        <v>4796</v>
      </c>
    </row>
    <row r="637" spans="1:7" ht="25.9" customHeight="1">
      <c r="A637" s="401">
        <v>634</v>
      </c>
      <c r="B637" s="2339" t="s">
        <v>4978</v>
      </c>
      <c r="C637" s="929" t="s">
        <v>4990</v>
      </c>
      <c r="D637" s="2343" t="str">
        <f t="shared" si="11"/>
        <v>Flachfundation</v>
      </c>
      <c r="E637" s="402" t="s">
        <v>4052</v>
      </c>
      <c r="F637" s="2338" t="s">
        <v>4858</v>
      </c>
      <c r="G637" s="2230" t="s">
        <v>4934</v>
      </c>
    </row>
    <row r="638" spans="1:7" ht="25.9" customHeight="1">
      <c r="A638" s="401">
        <v>635</v>
      </c>
      <c r="B638" s="2339" t="s">
        <v>4978</v>
      </c>
      <c r="C638" s="2339" t="s">
        <v>4991</v>
      </c>
      <c r="D638" s="2343" t="str">
        <f t="shared" si="11"/>
        <v>Mikrobohrpfahl</v>
      </c>
      <c r="E638" s="402" t="s">
        <v>4053</v>
      </c>
      <c r="F638" s="2338" t="s">
        <v>4859</v>
      </c>
      <c r="G638" s="2230" t="s">
        <v>4797</v>
      </c>
    </row>
    <row r="639" spans="1:7" ht="25.9" customHeight="1">
      <c r="A639" s="401">
        <v>636</v>
      </c>
      <c r="B639" s="2339" t="s">
        <v>4978</v>
      </c>
      <c r="C639" s="2339" t="s">
        <v>4992</v>
      </c>
      <c r="D639" s="2343" t="str">
        <f t="shared" si="11"/>
        <v>Ortbetonpfahl</v>
      </c>
      <c r="E639" s="402" t="s">
        <v>4054</v>
      </c>
      <c r="F639" s="2338" t="s">
        <v>4860</v>
      </c>
      <c r="G639" s="2230" t="s">
        <v>4798</v>
      </c>
    </row>
    <row r="640" spans="1:7" ht="25.9" customHeight="1">
      <c r="A640" s="401">
        <v>637</v>
      </c>
      <c r="B640" s="2339" t="s">
        <v>4978</v>
      </c>
      <c r="C640" s="2339" t="s">
        <v>4993</v>
      </c>
      <c r="D640" s="2343" t="str">
        <f t="shared" si="11"/>
        <v>Rüttelstopfsäule</v>
      </c>
      <c r="E640" s="402" t="s">
        <v>4055</v>
      </c>
      <c r="F640" s="2338" t="s">
        <v>4861</v>
      </c>
      <c r="G640" s="2230" t="s">
        <v>4935</v>
      </c>
    </row>
    <row r="641" spans="1:7" ht="25.9" customHeight="1">
      <c r="A641" s="401">
        <v>638</v>
      </c>
      <c r="B641" s="2339" t="s">
        <v>4978</v>
      </c>
      <c r="C641" s="2339" t="s">
        <v>4994</v>
      </c>
      <c r="D641" s="2343" t="str">
        <f t="shared" si="11"/>
        <v>Vorgef. Betonpfahl</v>
      </c>
      <c r="E641" s="402" t="s">
        <v>4056</v>
      </c>
      <c r="F641" s="2338" t="s">
        <v>4862</v>
      </c>
      <c r="G641" s="2230" t="s">
        <v>4799</v>
      </c>
    </row>
    <row r="642" spans="1:7" ht="25.9" customHeight="1">
      <c r="A642" s="401">
        <v>639</v>
      </c>
      <c r="B642" s="2339" t="s">
        <v>4978</v>
      </c>
      <c r="C642" s="929" t="s">
        <v>4995</v>
      </c>
      <c r="D642" s="2343" t="str">
        <f t="shared" si="11"/>
        <v>Böschung</v>
      </c>
      <c r="E642" s="402" t="s">
        <v>4057</v>
      </c>
      <c r="F642" s="2338" t="s">
        <v>4863</v>
      </c>
      <c r="G642" s="2230" t="s">
        <v>4800</v>
      </c>
    </row>
    <row r="643" spans="1:7" ht="25.9" customHeight="1">
      <c r="A643" s="401">
        <v>640</v>
      </c>
      <c r="B643" s="2339" t="s">
        <v>4978</v>
      </c>
      <c r="C643" s="2339" t="s">
        <v>4996</v>
      </c>
      <c r="D643" s="2343" t="str">
        <f t="shared" si="11"/>
        <v>Bohrpfahlwand</v>
      </c>
      <c r="E643" s="402" t="s">
        <v>4058</v>
      </c>
      <c r="F643" s="2338" t="s">
        <v>4864</v>
      </c>
      <c r="G643" s="2230" t="s">
        <v>4936</v>
      </c>
    </row>
    <row r="644" spans="1:7" ht="25.9" customHeight="1">
      <c r="A644" s="401">
        <v>641</v>
      </c>
      <c r="B644" s="2339" t="s">
        <v>4978</v>
      </c>
      <c r="C644" s="2339" t="s">
        <v>4997</v>
      </c>
      <c r="D644" s="2343" t="str">
        <f t="shared" si="11"/>
        <v>Nagelwand</v>
      </c>
      <c r="E644" s="402" t="s">
        <v>4059</v>
      </c>
      <c r="F644" s="2338" t="s">
        <v>4865</v>
      </c>
      <c r="G644" s="2230" t="s">
        <v>4937</v>
      </c>
    </row>
    <row r="645" spans="1:7" ht="25.9" customHeight="1">
      <c r="A645" s="401">
        <v>642</v>
      </c>
      <c r="B645" s="2339" t="s">
        <v>4978</v>
      </c>
      <c r="C645" s="2339" t="s">
        <v>4998</v>
      </c>
      <c r="D645" s="2343" t="str">
        <f t="shared" si="11"/>
        <v>Rühlwand</v>
      </c>
      <c r="E645" s="402" t="s">
        <v>4060</v>
      </c>
      <c r="F645" s="2338" t="s">
        <v>4866</v>
      </c>
      <c r="G645" s="2230" t="s">
        <v>4938</v>
      </c>
    </row>
    <row r="646" spans="1:7" ht="25.9" customHeight="1">
      <c r="A646" s="401">
        <v>643</v>
      </c>
      <c r="B646" s="2339" t="s">
        <v>4978</v>
      </c>
      <c r="C646" s="2339" t="s">
        <v>4999</v>
      </c>
      <c r="D646" s="2343" t="str">
        <f t="shared" si="11"/>
        <v>Schlitzwand</v>
      </c>
      <c r="E646" s="402" t="s">
        <v>4061</v>
      </c>
      <c r="F646" s="2338" t="s">
        <v>4867</v>
      </c>
      <c r="G646" s="2230" t="s">
        <v>4801</v>
      </c>
    </row>
    <row r="647" spans="1:7" ht="25.9" customHeight="1">
      <c r="A647" s="401">
        <v>644</v>
      </c>
      <c r="B647" s="2339" t="s">
        <v>4978</v>
      </c>
      <c r="C647" s="2339" t="s">
        <v>5000</v>
      </c>
      <c r="D647" s="2343" t="str">
        <f t="shared" si="11"/>
        <v>Spundwand</v>
      </c>
      <c r="E647" s="402" t="s">
        <v>4062</v>
      </c>
      <c r="F647" s="2338" t="s">
        <v>4868</v>
      </c>
      <c r="G647" s="2230" t="s">
        <v>4802</v>
      </c>
    </row>
    <row r="648" spans="1:7" ht="25.9" customHeight="1">
      <c r="A648" s="401">
        <v>645</v>
      </c>
      <c r="B648" s="2339" t="s">
        <v>4978</v>
      </c>
      <c r="C648" s="929" t="s">
        <v>5001</v>
      </c>
      <c r="D648" s="2343" t="str">
        <f t="shared" si="11"/>
        <v>geringe Spannweiten</v>
      </c>
      <c r="E648" s="402" t="s">
        <v>4063</v>
      </c>
      <c r="F648" s="2338" t="s">
        <v>4869</v>
      </c>
      <c r="G648" s="2230" t="s">
        <v>4803</v>
      </c>
    </row>
    <row r="649" spans="1:7" ht="25.9" customHeight="1">
      <c r="A649" s="401">
        <v>646</v>
      </c>
      <c r="B649" s="2339" t="s">
        <v>4978</v>
      </c>
      <c r="C649" s="2339" t="s">
        <v>5002</v>
      </c>
      <c r="D649" s="2343" t="str">
        <f t="shared" si="11"/>
        <v>moderate Spannweiten</v>
      </c>
      <c r="E649" s="402" t="s">
        <v>4064</v>
      </c>
      <c r="F649" s="2338" t="s">
        <v>4870</v>
      </c>
      <c r="G649" s="2230" t="s">
        <v>4804</v>
      </c>
    </row>
    <row r="650" spans="1:7" ht="25.9" customHeight="1">
      <c r="A650" s="401">
        <v>647</v>
      </c>
      <c r="B650" s="2339" t="s">
        <v>4978</v>
      </c>
      <c r="C650" s="2339" t="s">
        <v>5003</v>
      </c>
      <c r="D650" s="2343" t="str">
        <f t="shared" si="11"/>
        <v>mittlere Spannweiten</v>
      </c>
      <c r="E650" s="402" t="s">
        <v>4065</v>
      </c>
      <c r="F650" s="2338" t="s">
        <v>4871</v>
      </c>
      <c r="G650" s="2230" t="s">
        <v>4805</v>
      </c>
    </row>
    <row r="651" spans="1:7" ht="25.9" customHeight="1">
      <c r="A651" s="401">
        <v>648</v>
      </c>
      <c r="B651" s="2339" t="s">
        <v>4978</v>
      </c>
      <c r="C651" s="2339" t="s">
        <v>5004</v>
      </c>
      <c r="D651" s="2343" t="str">
        <f t="shared" si="11"/>
        <v>erhöhte Spannweiten</v>
      </c>
      <c r="E651" s="402" t="s">
        <v>4066</v>
      </c>
      <c r="F651" s="2338" t="s">
        <v>4872</v>
      </c>
      <c r="G651" s="2230" t="s">
        <v>4806</v>
      </c>
    </row>
    <row r="652" spans="1:7" ht="25.9" customHeight="1">
      <c r="A652" s="401">
        <v>649</v>
      </c>
      <c r="B652" s="2339" t="s">
        <v>4978</v>
      </c>
      <c r="C652" s="2339" t="s">
        <v>5005</v>
      </c>
      <c r="D652" s="2343" t="str">
        <f t="shared" si="11"/>
        <v>grosse Spannweiten</v>
      </c>
      <c r="E652" s="402" t="s">
        <v>4067</v>
      </c>
      <c r="F652" s="2338" t="s">
        <v>4873</v>
      </c>
      <c r="G652" s="2230" t="s">
        <v>4807</v>
      </c>
    </row>
    <row r="653" spans="1:7" ht="25.9" customHeight="1">
      <c r="A653" s="401">
        <v>650</v>
      </c>
      <c r="B653" s="2339"/>
      <c r="D653" s="2343">
        <f t="shared" si="11"/>
        <v>0</v>
      </c>
      <c r="F653" s="2338"/>
      <c r="G653" s="2230"/>
    </row>
    <row r="654" spans="1:7" ht="25.9" customHeight="1">
      <c r="A654" s="401">
        <v>651</v>
      </c>
      <c r="B654" s="2339" t="s">
        <v>4025</v>
      </c>
      <c r="C654" s="929" t="s">
        <v>1793</v>
      </c>
      <c r="D654" s="2343" t="str">
        <f t="shared" si="11"/>
        <v>Gespeicherter Kohlenstoff</v>
      </c>
      <c r="E654" s="402" t="s">
        <v>4068</v>
      </c>
      <c r="F654" s="2338" t="s">
        <v>4874</v>
      </c>
      <c r="G654" s="2230" t="s">
        <v>4808</v>
      </c>
    </row>
    <row r="655" spans="1:7" ht="25.9" customHeight="1">
      <c r="A655" s="401">
        <v>652</v>
      </c>
      <c r="B655" s="2339" t="s">
        <v>4025</v>
      </c>
      <c r="D655" s="2343" t="str">
        <f t="shared" si="11"/>
        <v>Treibhausgasemissionen (Betrieb)</v>
      </c>
      <c r="E655" s="402" t="s">
        <v>4069</v>
      </c>
      <c r="F655" s="2338" t="s">
        <v>4875</v>
      </c>
      <c r="G655" s="2230" t="s">
        <v>4809</v>
      </c>
    </row>
    <row r="656" spans="1:7" ht="25.9" customHeight="1">
      <c r="A656" s="401">
        <v>653</v>
      </c>
      <c r="B656" s="2339" t="s">
        <v>4025</v>
      </c>
      <c r="C656" s="929" t="s">
        <v>97</v>
      </c>
      <c r="D656" s="2343" t="str">
        <f t="shared" si="11"/>
        <v>Treibhausgasemissionen</v>
      </c>
      <c r="E656" s="402" t="s">
        <v>4070</v>
      </c>
      <c r="F656" s="2338" t="s">
        <v>4876</v>
      </c>
      <c r="G656" s="2230" t="s">
        <v>4939</v>
      </c>
    </row>
    <row r="657" spans="1:7" ht="25.9" customHeight="1">
      <c r="A657" s="401">
        <v>654</v>
      </c>
      <c r="B657" s="2339" t="s">
        <v>4025</v>
      </c>
      <c r="C657" s="929" t="s">
        <v>98</v>
      </c>
      <c r="D657" s="2343" t="str">
        <f t="shared" si="11"/>
        <v>Graue Energie</v>
      </c>
      <c r="E657" s="402" t="s">
        <v>382</v>
      </c>
      <c r="F657" s="2338" t="s">
        <v>4877</v>
      </c>
      <c r="G657" s="2230" t="s">
        <v>4810</v>
      </c>
    </row>
    <row r="658" spans="1:7" ht="25.9" customHeight="1">
      <c r="A658" s="401">
        <v>655</v>
      </c>
      <c r="B658" s="2339" t="s">
        <v>4025</v>
      </c>
      <c r="D658" s="2343" t="str">
        <f t="shared" si="11"/>
        <v>Vollständige Sanierung der Gebäudetechnik</v>
      </c>
      <c r="E658" s="402" t="s">
        <v>4071</v>
      </c>
      <c r="F658" s="2338" t="s">
        <v>4878</v>
      </c>
      <c r="G658" s="2230" t="s">
        <v>4811</v>
      </c>
    </row>
    <row r="659" spans="1:7" ht="25.9" customHeight="1">
      <c r="A659" s="401">
        <v>656</v>
      </c>
      <c r="B659" s="2339" t="s">
        <v>4025</v>
      </c>
      <c r="D659" s="2343" t="str">
        <f t="shared" si="11"/>
        <v>Mehrheitliche Sanierung der Gebäudetechnik</v>
      </c>
      <c r="E659" s="402" t="s">
        <v>4072</v>
      </c>
      <c r="F659" s="2338" t="s">
        <v>4879</v>
      </c>
      <c r="G659" s="2230" t="s">
        <v>4812</v>
      </c>
    </row>
    <row r="660" spans="1:7" ht="25.9" customHeight="1">
      <c r="A660" s="401">
        <v>657</v>
      </c>
      <c r="B660" s="2339" t="s">
        <v>4025</v>
      </c>
      <c r="D660" s="2343" t="str">
        <f t="shared" si="11"/>
        <v>Teilweise Sanierung der Gebäudetechnik</v>
      </c>
      <c r="E660" s="402" t="s">
        <v>4073</v>
      </c>
      <c r="F660" s="2338" t="s">
        <v>4880</v>
      </c>
      <c r="G660" s="2230" t="s">
        <v>4813</v>
      </c>
    </row>
    <row r="661" spans="1:7" ht="25.9" customHeight="1">
      <c r="A661" s="401">
        <v>658</v>
      </c>
      <c r="B661" s="2339" t="s">
        <v>4025</v>
      </c>
      <c r="D661" s="2343" t="str">
        <f t="shared" si="11"/>
        <v>Geringfügige Sanierung der Gebäudetechnik</v>
      </c>
      <c r="E661" s="402" t="s">
        <v>4074</v>
      </c>
      <c r="F661" s="2338" t="s">
        <v>4881</v>
      </c>
      <c r="G661" s="2230" t="s">
        <v>4814</v>
      </c>
    </row>
    <row r="662" spans="1:7" ht="25.9" customHeight="1">
      <c r="A662" s="401">
        <v>659</v>
      </c>
      <c r="B662" s="2339" t="s">
        <v>4025</v>
      </c>
      <c r="D662" s="2343" t="str">
        <f t="shared" si="11"/>
        <v>keine Sanierung Gebäudetechnik</v>
      </c>
      <c r="E662" s="402" t="s">
        <v>4075</v>
      </c>
      <c r="F662" s="2338" t="s">
        <v>4882</v>
      </c>
      <c r="G662" s="2230" t="s">
        <v>4815</v>
      </c>
    </row>
    <row r="663" spans="1:7" ht="25.9" customHeight="1">
      <c r="A663" s="401">
        <v>660</v>
      </c>
      <c r="B663" s="2339" t="s">
        <v>4025</v>
      </c>
      <c r="D663" s="2343" t="str">
        <f t="shared" si="11"/>
        <v>keine Sanierung</v>
      </c>
      <c r="E663" s="402" t="s">
        <v>4076</v>
      </c>
      <c r="F663" s="2338" t="s">
        <v>4883</v>
      </c>
      <c r="G663" s="2230" t="s">
        <v>4940</v>
      </c>
    </row>
    <row r="664" spans="1:7" ht="25.9" customHeight="1">
      <c r="A664" s="401">
        <v>661</v>
      </c>
      <c r="B664" s="2339" t="s">
        <v>4025</v>
      </c>
      <c r="D664" s="2343" t="str">
        <f t="shared" si="11"/>
        <v>Pinsel-Sanierung geringer Umfang</v>
      </c>
      <c r="E664" s="402" t="s">
        <v>4077</v>
      </c>
      <c r="F664" s="2338" t="s">
        <v>4884</v>
      </c>
      <c r="G664" s="2230" t="s">
        <v>4941</v>
      </c>
    </row>
    <row r="665" spans="1:7" ht="25.9" customHeight="1">
      <c r="A665" s="401">
        <v>662</v>
      </c>
      <c r="B665" s="2339" t="s">
        <v>4025</v>
      </c>
      <c r="D665" s="2343" t="str">
        <f t="shared" si="11"/>
        <v>Teilweise Pinsel-Sanierung</v>
      </c>
      <c r="E665" s="402" t="s">
        <v>4078</v>
      </c>
      <c r="F665" s="2338" t="s">
        <v>4885</v>
      </c>
      <c r="G665" s="2230" t="s">
        <v>4942</v>
      </c>
    </row>
    <row r="666" spans="1:7" ht="25.9" customHeight="1">
      <c r="A666" s="401">
        <v>663</v>
      </c>
      <c r="B666" s="2339" t="s">
        <v>4025</v>
      </c>
      <c r="D666" s="2343" t="str">
        <f t="shared" si="11"/>
        <v>Mehrheitliche Pinsel-Sanierung</v>
      </c>
      <c r="E666" s="402" t="s">
        <v>4079</v>
      </c>
      <c r="F666" s="2338" t="s">
        <v>4886</v>
      </c>
      <c r="G666" s="2230" t="s">
        <v>4943</v>
      </c>
    </row>
    <row r="667" spans="1:7" ht="25.9" customHeight="1">
      <c r="A667" s="401">
        <v>664</v>
      </c>
      <c r="B667" s="2339" t="s">
        <v>4025</v>
      </c>
      <c r="D667" s="2343" t="str">
        <f t="shared" si="11"/>
        <v>Vollständige Pinsel-Sanierung</v>
      </c>
      <c r="E667" s="402" t="s">
        <v>4080</v>
      </c>
      <c r="F667" s="2338" t="s">
        <v>4887</v>
      </c>
      <c r="G667" s="2230" t="s">
        <v>4944</v>
      </c>
    </row>
    <row r="668" spans="1:7" ht="25.9" customHeight="1">
      <c r="A668" s="401">
        <v>665</v>
      </c>
      <c r="B668" s="2339" t="s">
        <v>4025</v>
      </c>
      <c r="D668" s="2343" t="str">
        <f t="shared" ref="D668:D699" si="12">INDEX($E$4:$G$806,$A668,$A$1)</f>
        <v>Oberflächliche Sanierung geringer Umfang</v>
      </c>
      <c r="E668" s="402" t="s">
        <v>4081</v>
      </c>
      <c r="F668" s="2338" t="s">
        <v>4888</v>
      </c>
      <c r="G668" s="2230" t="s">
        <v>4945</v>
      </c>
    </row>
    <row r="669" spans="1:7" ht="25.9" customHeight="1">
      <c r="A669" s="401">
        <v>666</v>
      </c>
      <c r="B669" s="2339" t="s">
        <v>4025</v>
      </c>
      <c r="D669" s="2343" t="str">
        <f t="shared" si="12"/>
        <v>Teilweise oberflächliche Sanierung</v>
      </c>
      <c r="E669" s="402" t="s">
        <v>4082</v>
      </c>
      <c r="F669" s="2338" t="s">
        <v>4889</v>
      </c>
      <c r="G669" s="2230" t="s">
        <v>4946</v>
      </c>
    </row>
    <row r="670" spans="1:7" ht="25.9" customHeight="1">
      <c r="A670" s="401">
        <v>667</v>
      </c>
      <c r="B670" s="2339" t="s">
        <v>4025</v>
      </c>
      <c r="D670" s="2343" t="str">
        <f t="shared" si="12"/>
        <v>Mehrheitliche oberflächliche Sanierung</v>
      </c>
      <c r="E670" s="402" t="s">
        <v>4083</v>
      </c>
      <c r="F670" s="2338" t="s">
        <v>4890</v>
      </c>
      <c r="G670" s="2230" t="s">
        <v>4947</v>
      </c>
    </row>
    <row r="671" spans="1:7" ht="25.9" customHeight="1">
      <c r="A671" s="401">
        <v>668</v>
      </c>
      <c r="B671" s="2339" t="s">
        <v>4025</v>
      </c>
      <c r="D671" s="2343" t="str">
        <f t="shared" si="12"/>
        <v>Vollständige oberflächliche Sanierung</v>
      </c>
      <c r="E671" s="402" t="s">
        <v>4084</v>
      </c>
      <c r="F671" s="2338" t="s">
        <v>4891</v>
      </c>
      <c r="G671" s="2230" t="s">
        <v>4948</v>
      </c>
    </row>
    <row r="672" spans="1:7" ht="25.9" customHeight="1">
      <c r="A672" s="401">
        <v>669</v>
      </c>
      <c r="B672" s="2339" t="s">
        <v>4025</v>
      </c>
      <c r="D672" s="2343" t="str">
        <f t="shared" si="12"/>
        <v>Thermische Sanierung geringer Umfang</v>
      </c>
      <c r="E672" s="402" t="s">
        <v>4085</v>
      </c>
      <c r="F672" s="2338" t="s">
        <v>4892</v>
      </c>
      <c r="G672" s="2230" t="s">
        <v>4816</v>
      </c>
    </row>
    <row r="673" spans="1:7" ht="25.9" customHeight="1">
      <c r="A673" s="401">
        <v>670</v>
      </c>
      <c r="B673" s="2339" t="s">
        <v>4025</v>
      </c>
      <c r="D673" s="2343" t="str">
        <f t="shared" si="12"/>
        <v>Teilweise thermische Sanierung</v>
      </c>
      <c r="E673" s="402" t="s">
        <v>4086</v>
      </c>
      <c r="F673" s="2338" t="s">
        <v>4893</v>
      </c>
      <c r="G673" s="2230" t="s">
        <v>4817</v>
      </c>
    </row>
    <row r="674" spans="1:7" ht="25.9" customHeight="1">
      <c r="A674" s="401">
        <v>671</v>
      </c>
      <c r="B674" s="2339" t="s">
        <v>4025</v>
      </c>
      <c r="D674" s="2343" t="str">
        <f t="shared" si="12"/>
        <v>Mehrheitliche thermische Sanierung</v>
      </c>
      <c r="E674" s="402" t="s">
        <v>4087</v>
      </c>
      <c r="F674" s="2338" t="s">
        <v>4894</v>
      </c>
      <c r="G674" s="2230" t="s">
        <v>4818</v>
      </c>
    </row>
    <row r="675" spans="1:7" ht="25.9" customHeight="1">
      <c r="A675" s="401">
        <v>672</v>
      </c>
      <c r="B675" s="2339" t="s">
        <v>4025</v>
      </c>
      <c r="D675" s="2343" t="str">
        <f t="shared" si="12"/>
        <v>Vollständige thermische Sanierung</v>
      </c>
      <c r="E675" s="402" t="s">
        <v>4088</v>
      </c>
      <c r="F675" s="2338" t="s">
        <v>4895</v>
      </c>
      <c r="G675" s="2230" t="s">
        <v>4819</v>
      </c>
    </row>
    <row r="676" spans="1:7" ht="25.9" customHeight="1">
      <c r="A676" s="401">
        <v>673</v>
      </c>
      <c r="B676" s="2339" t="s">
        <v>4025</v>
      </c>
      <c r="D676" s="2343" t="str">
        <f t="shared" si="12"/>
        <v>Bauteilersatz geringer Umfang</v>
      </c>
      <c r="E676" s="402" t="s">
        <v>4089</v>
      </c>
      <c r="F676" s="2338" t="s">
        <v>4896</v>
      </c>
      <c r="G676" s="2230" t="s">
        <v>4949</v>
      </c>
    </row>
    <row r="677" spans="1:7" ht="25.9" customHeight="1">
      <c r="A677" s="401">
        <v>674</v>
      </c>
      <c r="B677" s="2339" t="s">
        <v>4025</v>
      </c>
      <c r="D677" s="2343" t="str">
        <f t="shared" si="12"/>
        <v>Teilweiser Bauteilersatz</v>
      </c>
      <c r="E677" s="402" t="s">
        <v>4090</v>
      </c>
      <c r="F677" s="2338" t="s">
        <v>4897</v>
      </c>
      <c r="G677" s="2230" t="s">
        <v>4820</v>
      </c>
    </row>
    <row r="678" spans="1:7" ht="25.9" customHeight="1">
      <c r="A678" s="401">
        <v>675</v>
      </c>
      <c r="B678" s="2339" t="s">
        <v>4025</v>
      </c>
      <c r="D678" s="2343" t="str">
        <f t="shared" si="12"/>
        <v>Mehrheitlicher Bauteilersatz</v>
      </c>
      <c r="E678" s="402" t="s">
        <v>4091</v>
      </c>
      <c r="F678" s="2338" t="s">
        <v>4898</v>
      </c>
      <c r="G678" s="2230" t="s">
        <v>4821</v>
      </c>
    </row>
    <row r="679" spans="1:7" ht="25.9" customHeight="1">
      <c r="A679" s="401">
        <v>676</v>
      </c>
      <c r="B679" s="2339" t="s">
        <v>4025</v>
      </c>
      <c r="D679" s="2343" t="str">
        <f t="shared" si="12"/>
        <v>Vollständiger Bauteilersatz</v>
      </c>
      <c r="E679" s="402" t="s">
        <v>4092</v>
      </c>
      <c r="F679" s="2338" t="s">
        <v>4899</v>
      </c>
      <c r="G679" s="2230" t="s">
        <v>4822</v>
      </c>
    </row>
    <row r="680" spans="1:7" ht="25.9" customHeight="1">
      <c r="A680" s="401">
        <v>677</v>
      </c>
      <c r="B680" s="2339" t="s">
        <v>4025</v>
      </c>
      <c r="D680" s="2343" t="str">
        <f t="shared" si="12"/>
        <v>Richtwert THGE Erstellung</v>
      </c>
      <c r="E680" s="402" t="s">
        <v>4093</v>
      </c>
      <c r="F680" s="2338" t="s">
        <v>4900</v>
      </c>
      <c r="G680" s="2230" t="s">
        <v>4950</v>
      </c>
    </row>
    <row r="681" spans="1:7" ht="25.9" customHeight="1">
      <c r="A681" s="401">
        <v>678</v>
      </c>
      <c r="B681" s="2339" t="s">
        <v>4025</v>
      </c>
      <c r="C681" s="929" t="s">
        <v>487</v>
      </c>
      <c r="D681" s="2343" t="str">
        <f t="shared" si="12"/>
        <v>Visualisierung Treibhausgase in der Erstellung</v>
      </c>
      <c r="E681" s="402" t="s">
        <v>4094</v>
      </c>
      <c r="F681" s="2338" t="s">
        <v>4901</v>
      </c>
      <c r="G681" s="2230" t="s">
        <v>4823</v>
      </c>
    </row>
    <row r="682" spans="1:7" ht="25.9" customHeight="1">
      <c r="A682" s="401">
        <v>679</v>
      </c>
      <c r="B682" s="2339" t="s">
        <v>4025</v>
      </c>
      <c r="D682" s="2343" t="str">
        <f t="shared" si="12"/>
        <v>minimal</v>
      </c>
      <c r="E682" s="402" t="s">
        <v>4095</v>
      </c>
      <c r="F682" s="2338" t="s">
        <v>4095</v>
      </c>
      <c r="G682" s="2230" t="s">
        <v>4824</v>
      </c>
    </row>
    <row r="683" spans="1:7" ht="25.9" customHeight="1">
      <c r="A683" s="401">
        <v>680</v>
      </c>
      <c r="B683" s="2339" t="s">
        <v>4025</v>
      </c>
      <c r="D683" s="2343" t="str">
        <f t="shared" si="12"/>
        <v>eingelegte Haustechnik</v>
      </c>
      <c r="E683" s="402" t="s">
        <v>4096</v>
      </c>
      <c r="F683" s="2338" t="s">
        <v>4902</v>
      </c>
      <c r="G683" s="2230" t="s">
        <v>4825</v>
      </c>
    </row>
    <row r="684" spans="1:7" ht="41.25" customHeight="1">
      <c r="A684" s="401">
        <v>681</v>
      </c>
      <c r="B684" s="929" t="s">
        <v>4025</v>
      </c>
      <c r="C684" s="929" t="s">
        <v>4635</v>
      </c>
      <c r="D684" s="2343" t="str">
        <f t="shared" si="12"/>
        <v>Geschossfläche GF: Die gesamte Geschossfläche des Gebäudes gem. SIA 416 muss eingegeben werden. Die GF muss grösser als die EBF sein.</v>
      </c>
      <c r="E684" s="402" t="s">
        <v>4920</v>
      </c>
      <c r="F684" s="2338" t="s">
        <v>4903</v>
      </c>
      <c r="G684" s="2230" t="s">
        <v>4826</v>
      </c>
    </row>
    <row r="685" spans="1:7" ht="36.75" customHeight="1">
      <c r="A685" s="401">
        <v>682</v>
      </c>
      <c r="B685" s="929" t="s">
        <v>4025</v>
      </c>
      <c r="C685" s="929" t="s">
        <v>4636</v>
      </c>
      <c r="D685" s="2343" t="str">
        <f t="shared" si="12"/>
        <v>Baugrube:Falls mehrere verschiedene Verbauungsarten in einem Projekt vorhanden sind, ist diejenige mit dem grössten Flächenanteil zu wählen.</v>
      </c>
      <c r="E685" s="402" t="s">
        <v>4630</v>
      </c>
      <c r="F685" s="2338" t="s">
        <v>4904</v>
      </c>
      <c r="G685" s="2230" t="s">
        <v>4951</v>
      </c>
    </row>
    <row r="686" spans="1:7" ht="25.5" customHeight="1">
      <c r="A686" s="401">
        <v>683</v>
      </c>
      <c r="B686" s="929" t="s">
        <v>4025</v>
      </c>
      <c r="C686" s="929" t="s">
        <v>4637</v>
      </c>
      <c r="D686" s="2343" t="str">
        <f t="shared" si="12"/>
        <v>Fundation:Falls mehrere Fundationsarten vorhanden sind, so ist die Variante mit der grössten fundierten Fläche zu wählen.</v>
      </c>
      <c r="E686" s="402" t="s">
        <v>4631</v>
      </c>
      <c r="F686" s="2338" t="s">
        <v>4905</v>
      </c>
      <c r="G686" s="2230" t="s">
        <v>4952</v>
      </c>
    </row>
    <row r="687" spans="1:7" ht="39" customHeight="1">
      <c r="A687" s="401">
        <v>684</v>
      </c>
      <c r="B687" s="929" t="s">
        <v>4025</v>
      </c>
      <c r="C687" s="929" t="s">
        <v>4638</v>
      </c>
      <c r="D687" s="2343" t="str">
        <f t="shared" si="12"/>
        <v>Untergeschoss-Gestaltung:Die Grundfläche des UGs wird in Relation zu der Gebäudegrundfläche (GGF, siehe SIA 416) betrachtet.</v>
      </c>
      <c r="E687" s="402" t="s">
        <v>4632</v>
      </c>
      <c r="F687" s="2338" t="s">
        <v>4906</v>
      </c>
      <c r="G687" s="2230" t="s">
        <v>4953</v>
      </c>
    </row>
    <row r="688" spans="1:7" ht="201.75" customHeight="1">
      <c r="A688" s="401">
        <v>685</v>
      </c>
      <c r="B688" s="929" t="s">
        <v>4025</v>
      </c>
      <c r="C688" s="929" t="s">
        <v>4639</v>
      </c>
      <c r="D688" s="2343" t="str">
        <f t="shared" si="12"/>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4633</v>
      </c>
      <c r="F688" s="2338" t="s">
        <v>4907</v>
      </c>
      <c r="G688" s="2230" t="s">
        <v>4954</v>
      </c>
    </row>
    <row r="689" spans="1:7" ht="141" customHeight="1">
      <c r="A689" s="401">
        <v>686</v>
      </c>
      <c r="B689" s="929" t="s">
        <v>4025</v>
      </c>
      <c r="C689" s="929" t="s">
        <v>4640</v>
      </c>
      <c r="D689" s="2343" t="str">
        <f t="shared" si="12"/>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4919</v>
      </c>
      <c r="F689" s="2338" t="s">
        <v>4908</v>
      </c>
      <c r="G689" s="2230" t="s">
        <v>4827</v>
      </c>
    </row>
    <row r="690" spans="1:7" ht="40.5" customHeight="1">
      <c r="A690" s="401">
        <v>687</v>
      </c>
      <c r="B690" s="929" t="s">
        <v>4025</v>
      </c>
      <c r="C690" s="929" t="s">
        <v>4641</v>
      </c>
      <c r="D690" s="2343" t="str">
        <f t="shared" si="12"/>
        <v>Fensteranteil:
Anteil der Fenster an der Fassadenfläche; kann der SIA380/1 Berechnung entnommen werden</v>
      </c>
      <c r="E690" s="402" t="s">
        <v>4634</v>
      </c>
      <c r="F690" s="2338" t="s">
        <v>4909</v>
      </c>
      <c r="G690" s="2230" t="s">
        <v>4828</v>
      </c>
    </row>
    <row r="691" spans="1:7" ht="49.5" customHeight="1">
      <c r="A691" s="401">
        <v>688</v>
      </c>
      <c r="B691" s="929" t="s">
        <v>4025</v>
      </c>
      <c r="C691" s="929" t="s">
        <v>4642</v>
      </c>
      <c r="D691" s="2343" t="str">
        <f t="shared" si="12"/>
        <v>Deckenstärke:
Falls grosse (z. B. Lüftungsleitungen) oder sehr viele Deckeneinlagen geplant sind, ist hier "&gt; 24 cm" zu wählen.</v>
      </c>
      <c r="E691" s="402" t="s">
        <v>4918</v>
      </c>
      <c r="F691" s="2338" t="s">
        <v>4961</v>
      </c>
      <c r="G691" s="2230" t="s">
        <v>4955</v>
      </c>
    </row>
    <row r="692" spans="1:7" ht="36.75" customHeight="1">
      <c r="A692" s="401">
        <v>689</v>
      </c>
      <c r="B692" s="929" t="s">
        <v>4025</v>
      </c>
      <c r="C692" s="929" t="s">
        <v>4643</v>
      </c>
      <c r="D692" s="2343" t="str">
        <f t="shared" si="12"/>
        <v>CO2-angereicherter Beton:
Wenn mindestens 80 % aller Betonbauteile, bei denen dies möglich ist, aus mit CO2 angereichertem Beton bestehen, kann hier "ja" gewählt werden.</v>
      </c>
      <c r="E692" s="402" t="s">
        <v>4644</v>
      </c>
      <c r="F692" s="2338" t="s">
        <v>4910</v>
      </c>
      <c r="G692" s="2230" t="s">
        <v>4829</v>
      </c>
    </row>
    <row r="693" spans="1:7" ht="25.9" customHeight="1">
      <c r="A693" s="2335">
        <v>690</v>
      </c>
      <c r="B693" s="929" t="s">
        <v>1797</v>
      </c>
      <c r="C693" s="929" t="s">
        <v>513</v>
      </c>
      <c r="D693" s="2343" t="str">
        <f t="shared" si="12"/>
        <v>Treibhausgasemissionen im Betrieb in CO2 kg/m2 (Scope 1)</v>
      </c>
      <c r="E693" s="402" t="s">
        <v>4726</v>
      </c>
      <c r="F693" s="2338" t="s">
        <v>4911</v>
      </c>
      <c r="G693" s="2230" t="s">
        <v>4956</v>
      </c>
    </row>
    <row r="694" spans="1:7" ht="25.9" customHeight="1">
      <c r="A694" s="2335">
        <v>691</v>
      </c>
      <c r="B694" s="2339" t="s">
        <v>1797</v>
      </c>
      <c r="C694" s="929" t="s">
        <v>868</v>
      </c>
      <c r="D694" s="2343" t="str">
        <f t="shared" si="12"/>
        <v>(Betrieb)</v>
      </c>
      <c r="E694" s="402" t="s">
        <v>4724</v>
      </c>
      <c r="F694" s="2338" t="s">
        <v>4725</v>
      </c>
      <c r="G694" s="2230" t="s">
        <v>4977</v>
      </c>
    </row>
    <row r="695" spans="1:7" ht="25.9" customHeight="1">
      <c r="A695" s="2335">
        <v>692</v>
      </c>
      <c r="B695" s="929" t="s">
        <v>622</v>
      </c>
      <c r="C695" s="929" t="s">
        <v>4746</v>
      </c>
      <c r="D695" s="2343" t="str">
        <f t="shared" si="12"/>
        <v>Aufsummierte Länge aller Erdwärmesonden  [m]</v>
      </c>
      <c r="E695" s="402" t="s">
        <v>4731</v>
      </c>
      <c r="F695" s="2338" t="s">
        <v>4739</v>
      </c>
      <c r="G695" s="2230" t="s">
        <v>4740</v>
      </c>
    </row>
    <row r="696" spans="1:7" ht="25.9" customHeight="1">
      <c r="A696" s="2335">
        <v>693</v>
      </c>
      <c r="B696" s="929" t="s">
        <v>1797</v>
      </c>
      <c r="C696" s="929" t="s">
        <v>4753</v>
      </c>
      <c r="D696" s="2343" t="str">
        <f t="shared" si="12"/>
        <v>(Erstellung)</v>
      </c>
      <c r="E696" s="402" t="s">
        <v>4745</v>
      </c>
      <c r="F696" s="2338" t="s">
        <v>4912</v>
      </c>
      <c r="G696" s="2230" t="s">
        <v>4830</v>
      </c>
    </row>
    <row r="697" spans="1:7" ht="25.9" customHeight="1">
      <c r="A697" s="2335">
        <v>694</v>
      </c>
      <c r="B697" s="929" t="s">
        <v>1797</v>
      </c>
      <c r="C697" s="929" t="s">
        <v>880</v>
      </c>
      <c r="D697" s="2343" t="str">
        <f t="shared" si="12"/>
        <v>Treibhausgasemissionen in kg CO2/m2</v>
      </c>
      <c r="E697" s="402" t="s">
        <v>4747</v>
      </c>
      <c r="F697" s="2338" t="s">
        <v>4913</v>
      </c>
      <c r="G697" s="2230" t="s">
        <v>4831</v>
      </c>
    </row>
    <row r="698" spans="1:7" ht="25.9" customHeight="1">
      <c r="A698" s="2335">
        <v>695</v>
      </c>
      <c r="B698" s="2339" t="s">
        <v>1797</v>
      </c>
      <c r="C698" s="929" t="s">
        <v>1768</v>
      </c>
      <c r="D698" s="2343" t="str">
        <f t="shared" si="12"/>
        <v>Gespeicherter Kohlenstoff in kg/m2</v>
      </c>
      <c r="E698" s="402" t="s">
        <v>4748</v>
      </c>
      <c r="F698" s="2338" t="s">
        <v>4914</v>
      </c>
      <c r="G698" s="2230" t="s">
        <v>4832</v>
      </c>
    </row>
    <row r="699" spans="1:7" ht="25.9" customHeight="1">
      <c r="A699" s="2335">
        <v>696</v>
      </c>
      <c r="B699" s="2339" t="s">
        <v>4025</v>
      </c>
      <c r="C699" s="929" t="s">
        <v>4922</v>
      </c>
      <c r="D699" s="2343" t="str">
        <f t="shared" si="12"/>
        <v>GF</v>
      </c>
      <c r="E699" s="402" t="s">
        <v>4598</v>
      </c>
      <c r="F699" s="2338" t="s">
        <v>4921</v>
      </c>
      <c r="G699" s="403" t="s">
        <v>4921</v>
      </c>
    </row>
    <row r="700" spans="1:7" ht="25.9" customHeight="1">
      <c r="A700" s="2335">
        <v>697</v>
      </c>
      <c r="B700" s="2339" t="s">
        <v>1797</v>
      </c>
      <c r="C700" s="929" t="s">
        <v>705</v>
      </c>
      <c r="D700" s="2343" t="str">
        <f t="shared" ref="D700:D731" si="13">INDEX($E$4:$G$806,$A700,$A$1)</f>
        <v>Weitere Kennzahlen</v>
      </c>
      <c r="E700" s="402" t="s">
        <v>4742</v>
      </c>
      <c r="F700" s="2338" t="s">
        <v>4924</v>
      </c>
      <c r="G700" s="403" t="s">
        <v>4923</v>
      </c>
    </row>
    <row r="701" spans="1:7" ht="25.9" customHeight="1">
      <c r="A701" s="2335">
        <v>698</v>
      </c>
      <c r="B701" s="2339" t="s">
        <v>53</v>
      </c>
      <c r="C701" s="2339" t="s">
        <v>5017</v>
      </c>
      <c r="D701" s="2343" t="str">
        <f t="shared" si="13"/>
        <v xml:space="preserve">Bedarf / Produktion PV [kWh] </v>
      </c>
      <c r="E701" s="402" t="s">
        <v>5020</v>
      </c>
      <c r="F701" s="2338" t="s">
        <v>5018</v>
      </c>
      <c r="G701" s="403" t="s">
        <v>5019</v>
      </c>
    </row>
    <row r="702" spans="1:7" ht="25.9" customHeight="1">
      <c r="A702" s="2335">
        <v>699</v>
      </c>
      <c r="B702" s="2339" t="s">
        <v>622</v>
      </c>
      <c r="C702" s="2339" t="s">
        <v>5025</v>
      </c>
      <c r="D702" s="2343" t="str">
        <f t="shared" si="13"/>
        <v>Berner Energiegesetz 2026</v>
      </c>
      <c r="E702" s="402" t="s">
        <v>5235</v>
      </c>
      <c r="F702" s="2338" t="s">
        <v>5236</v>
      </c>
      <c r="G702" s="403" t="s">
        <v>5237</v>
      </c>
    </row>
    <row r="703" spans="1:7" ht="25.9" customHeight="1">
      <c r="A703" s="401">
        <v>700</v>
      </c>
      <c r="B703" s="2339" t="s">
        <v>5096</v>
      </c>
      <c r="C703" s="2339" t="s">
        <v>5097</v>
      </c>
      <c r="D703" s="2343" t="str">
        <f t="shared" si="13"/>
        <v>Gewichtete Gesamtenergieeffizienz gGEE</v>
      </c>
      <c r="E703" s="402" t="s">
        <v>5039</v>
      </c>
      <c r="F703" s="2338" t="s">
        <v>5115</v>
      </c>
      <c r="G703" s="403" t="s">
        <v>5127</v>
      </c>
    </row>
    <row r="704" spans="1:7" ht="25.9" customHeight="1">
      <c r="A704" s="401">
        <v>701</v>
      </c>
      <c r="B704" s="929" t="s">
        <v>53</v>
      </c>
      <c r="C704" s="929" t="s">
        <v>5029</v>
      </c>
      <c r="D704" s="2343" t="str">
        <f t="shared" si="13"/>
        <v>Leistung pro m2 EBF Neubau  [kWh/m2]</v>
      </c>
      <c r="E704" s="402" t="s">
        <v>5046</v>
      </c>
      <c r="F704" s="2338" t="s">
        <v>5116</v>
      </c>
      <c r="G704" s="403" t="s">
        <v>5128</v>
      </c>
    </row>
    <row r="705" spans="1:7" ht="25.9" customHeight="1">
      <c r="A705" s="2335">
        <v>702</v>
      </c>
      <c r="B705" s="2339" t="s">
        <v>53</v>
      </c>
      <c r="C705" s="2339" t="s">
        <v>5059</v>
      </c>
      <c r="D705" s="2343" t="str">
        <f t="shared" si="13"/>
        <v xml:space="preserve"> Nachweisprüfung:</v>
      </c>
      <c r="E705" s="402" t="s">
        <v>5056</v>
      </c>
      <c r="F705" s="2338" t="s">
        <v>5057</v>
      </c>
      <c r="G705" s="403" t="s">
        <v>5058</v>
      </c>
    </row>
    <row r="706" spans="1:7" ht="25.9" customHeight="1">
      <c r="A706" s="2335">
        <v>703</v>
      </c>
      <c r="B706" s="2339" t="s">
        <v>53</v>
      </c>
      <c r="C706" s="2339" t="s">
        <v>946</v>
      </c>
      <c r="D706" s="2343" t="str">
        <f t="shared" si="13"/>
        <v>Bemerkungen:</v>
      </c>
      <c r="E706" s="402" t="s">
        <v>5060</v>
      </c>
      <c r="F706" s="2338" t="s">
        <v>5061</v>
      </c>
      <c r="G706" s="403" t="s">
        <v>5062</v>
      </c>
    </row>
    <row r="707" spans="1:7" ht="25.9" customHeight="1">
      <c r="A707" s="2335">
        <v>704</v>
      </c>
      <c r="B707" s="2339" t="s">
        <v>5063</v>
      </c>
      <c r="C707" s="2339" t="s">
        <v>1906</v>
      </c>
      <c r="D707" s="2343" t="str">
        <f t="shared" si="13"/>
        <v>gGEE</v>
      </c>
      <c r="E707" s="402" t="s">
        <v>5064</v>
      </c>
      <c r="F707" s="2338" t="s">
        <v>5117</v>
      </c>
      <c r="G707" s="403" t="s">
        <v>5064</v>
      </c>
    </row>
    <row r="708" spans="1:7" ht="25.9" customHeight="1">
      <c r="A708" s="2335">
        <v>705</v>
      </c>
      <c r="B708" s="2339" t="s">
        <v>5063</v>
      </c>
      <c r="C708" s="2339" t="s">
        <v>872</v>
      </c>
      <c r="D708" s="2343" t="str">
        <f t="shared" si="13"/>
        <v xml:space="preserve">Visualisierung </v>
      </c>
      <c r="E708" s="402" t="s">
        <v>5065</v>
      </c>
      <c r="F708" s="2338" t="s">
        <v>5066</v>
      </c>
      <c r="G708" s="403" t="s">
        <v>5067</v>
      </c>
    </row>
    <row r="709" spans="1:7" ht="25.9" customHeight="1">
      <c r="A709" s="2335">
        <v>706</v>
      </c>
      <c r="B709" s="2339" t="s">
        <v>5063</v>
      </c>
      <c r="C709" s="2339" t="s">
        <v>866</v>
      </c>
      <c r="D709" s="2343" t="str">
        <f t="shared" si="13"/>
        <v>Erfüllung der Anforderung</v>
      </c>
      <c r="E709" s="402" t="s">
        <v>5068</v>
      </c>
      <c r="F709" s="2338" t="s">
        <v>5118</v>
      </c>
      <c r="G709" s="403" t="s">
        <v>5069</v>
      </c>
    </row>
    <row r="710" spans="1:7" ht="25.9" customHeight="1">
      <c r="A710" s="2335">
        <v>707</v>
      </c>
      <c r="B710" s="2339" t="s">
        <v>1747</v>
      </c>
      <c r="C710" s="2339" t="s">
        <v>1749</v>
      </c>
      <c r="D710" s="2343" t="str">
        <f t="shared" si="13"/>
        <v>Sommerlicher Wärmeschutz
(fakultative Eingabe)</v>
      </c>
      <c r="E710" s="402" t="s">
        <v>5161</v>
      </c>
      <c r="F710" s="2338" t="s">
        <v>5162</v>
      </c>
      <c r="G710" s="403" t="s">
        <v>5070</v>
      </c>
    </row>
    <row r="711" spans="1:7" ht="25.9" customHeight="1">
      <c r="A711" s="2335">
        <v>708</v>
      </c>
      <c r="B711" s="2339" t="s">
        <v>5063</v>
      </c>
      <c r="C711" s="929" t="s">
        <v>5077</v>
      </c>
      <c r="D711" s="2343" t="str">
        <f t="shared" si="13"/>
        <v>gGEE,H: Teilkennzahl Heizung</v>
      </c>
      <c r="E711" s="402" t="s">
        <v>5076</v>
      </c>
      <c r="F711" s="2338" t="s">
        <v>5119</v>
      </c>
      <c r="G711" s="403" t="s">
        <v>5075</v>
      </c>
    </row>
    <row r="712" spans="1:7" ht="25.9" customHeight="1">
      <c r="A712" s="2335">
        <v>709</v>
      </c>
      <c r="B712" s="2339" t="s">
        <v>5063</v>
      </c>
      <c r="C712" s="2339" t="s">
        <v>5080</v>
      </c>
      <c r="D712" s="2343" t="str">
        <f t="shared" si="13"/>
        <v>gGEE,ww: Teilkennzahl Warmwasser</v>
      </c>
      <c r="E712" s="402" t="s">
        <v>5079</v>
      </c>
      <c r="F712" s="2338" t="s">
        <v>5120</v>
      </c>
      <c r="G712" s="403" t="s">
        <v>5078</v>
      </c>
    </row>
    <row r="713" spans="1:7" ht="25.9" customHeight="1">
      <c r="A713" s="2335">
        <v>710</v>
      </c>
      <c r="B713" s="2339" t="s">
        <v>5063</v>
      </c>
      <c r="C713" s="2339" t="s">
        <v>5083</v>
      </c>
      <c r="D713" s="2343" t="str">
        <f t="shared" si="13"/>
        <v>gGEE,LK: Teilkennzahl Lüftung und Klima</v>
      </c>
      <c r="E713" s="402" t="s">
        <v>5082</v>
      </c>
      <c r="F713" s="2338" t="s">
        <v>5121</v>
      </c>
      <c r="G713" s="403" t="s">
        <v>5081</v>
      </c>
    </row>
    <row r="714" spans="1:7" ht="25.9" customHeight="1">
      <c r="A714" s="2335">
        <v>711</v>
      </c>
      <c r="B714" s="2339" t="s">
        <v>5063</v>
      </c>
      <c r="C714" s="2339" t="s">
        <v>5086</v>
      </c>
      <c r="D714" s="2343" t="str">
        <f t="shared" si="13"/>
        <v>gGEEel,wohn: Teilkennzahl Wohnstrom</v>
      </c>
      <c r="E714" s="402" t="s">
        <v>5085</v>
      </c>
      <c r="F714" s="2338" t="s">
        <v>5122</v>
      </c>
      <c r="G714" s="403" t="s">
        <v>5084</v>
      </c>
    </row>
    <row r="715" spans="1:7" ht="25.9" customHeight="1">
      <c r="A715" s="2335">
        <v>712</v>
      </c>
      <c r="B715" s="2339" t="s">
        <v>5063</v>
      </c>
      <c r="C715" s="2339" t="s">
        <v>5087</v>
      </c>
      <c r="D715" s="2343" t="str">
        <f t="shared" si="13"/>
        <v>gGEE,Bel: Teilkennzahl Beleuchtung</v>
      </c>
      <c r="E715" s="402" t="s">
        <v>5091</v>
      </c>
      <c r="F715" s="2338" t="s">
        <v>5123</v>
      </c>
      <c r="G715" s="403" t="s">
        <v>5090</v>
      </c>
    </row>
    <row r="716" spans="1:7" ht="25.9" customHeight="1">
      <c r="A716" s="2335">
        <v>713</v>
      </c>
      <c r="B716" s="2339" t="s">
        <v>5063</v>
      </c>
      <c r="C716" s="2339" t="s">
        <v>5088</v>
      </c>
      <c r="D716" s="2343" t="str">
        <f t="shared" si="13"/>
        <v>gGEE,Geräte: Teilkennzahl Geräte</v>
      </c>
      <c r="E716" s="402" t="s">
        <v>5093</v>
      </c>
      <c r="F716" s="2338" t="s">
        <v>5124</v>
      </c>
      <c r="G716" s="403" t="s">
        <v>5092</v>
      </c>
    </row>
    <row r="717" spans="1:7" ht="25.9" customHeight="1">
      <c r="A717" s="2335">
        <v>714</v>
      </c>
      <c r="B717" s="2339" t="s">
        <v>5063</v>
      </c>
      <c r="C717" s="2339" t="s">
        <v>5089</v>
      </c>
      <c r="D717" s="2343" t="str">
        <f t="shared" si="13"/>
        <v>gGEE,AGT: Teilkennzahl allgemeine Gebäudetechnik</v>
      </c>
      <c r="E717" s="402" t="s">
        <v>5095</v>
      </c>
      <c r="F717" s="2338" t="s">
        <v>5125</v>
      </c>
      <c r="G717" s="403" t="s">
        <v>5094</v>
      </c>
    </row>
    <row r="718" spans="1:7" ht="25.9" customHeight="1">
      <c r="A718" s="2335">
        <v>715</v>
      </c>
      <c r="B718" s="2339" t="s">
        <v>5063</v>
      </c>
      <c r="C718" s="2339" t="s">
        <v>1795</v>
      </c>
      <c r="D718" s="2343" t="str">
        <f t="shared" si="13"/>
        <v>gewichtete Gesamtenergieeffizienz gGEE</v>
      </c>
      <c r="E718" s="402" t="s">
        <v>5098</v>
      </c>
      <c r="F718" s="2338" t="s">
        <v>5115</v>
      </c>
      <c r="G718" s="403" t="s">
        <v>5127</v>
      </c>
    </row>
    <row r="719" spans="1:7" ht="25.9" customHeight="1">
      <c r="A719" s="2335">
        <v>716</v>
      </c>
      <c r="D719" s="2343" t="str">
        <f t="shared" si="13"/>
        <v>Kohlenstoff  [kg C/m2]</v>
      </c>
      <c r="E719" s="402" t="s">
        <v>5113</v>
      </c>
      <c r="F719" s="2338" t="s">
        <v>5126</v>
      </c>
      <c r="G719" s="403" t="s">
        <v>5114</v>
      </c>
    </row>
    <row r="720" spans="1:7" ht="25.9" customHeight="1">
      <c r="A720" s="401">
        <v>717</v>
      </c>
      <c r="B720" s="2339" t="s">
        <v>5063</v>
      </c>
      <c r="D720" s="899" t="str">
        <f t="shared" si="13"/>
        <v>Stromproduktion</v>
      </c>
      <c r="E720" s="402" t="s">
        <v>5137</v>
      </c>
      <c r="F720" s="1394" t="s">
        <v>5138</v>
      </c>
      <c r="G720" s="1393" t="s">
        <v>2898</v>
      </c>
    </row>
    <row r="721" spans="1:7" ht="36" customHeight="1">
      <c r="A721" s="2335">
        <v>718</v>
      </c>
      <c r="B721" s="2339" t="s">
        <v>5063</v>
      </c>
      <c r="C721" s="2339"/>
      <c r="D721" s="899" t="str">
        <f t="shared" si="13"/>
        <v>Strom nicht anrechenbar</v>
      </c>
      <c r="E721" s="429" t="s">
        <v>5139</v>
      </c>
      <c r="F721" s="1394" t="s">
        <v>5140</v>
      </c>
      <c r="G721" s="1393" t="s">
        <v>2788</v>
      </c>
    </row>
    <row r="722" spans="1:7" ht="25.9" customHeight="1">
      <c r="A722" s="2335">
        <v>719</v>
      </c>
      <c r="B722" s="2339" t="s">
        <v>5063</v>
      </c>
      <c r="D722" s="899" t="str">
        <f t="shared" si="13"/>
        <v>Strom Eigenverbrauch</v>
      </c>
      <c r="E722" s="402" t="s">
        <v>5141</v>
      </c>
      <c r="F722" s="1394" t="s">
        <v>5143</v>
      </c>
      <c r="G722" s="403" t="s">
        <v>2392</v>
      </c>
    </row>
    <row r="723" spans="1:7" ht="25.9" customHeight="1">
      <c r="A723" s="2335">
        <v>720</v>
      </c>
      <c r="B723" s="2339" t="s">
        <v>5063</v>
      </c>
      <c r="D723" s="899" t="str">
        <f t="shared" si="13"/>
        <v>Strom-Anteil Einspeisung</v>
      </c>
      <c r="E723" s="402" t="s">
        <v>5142</v>
      </c>
      <c r="F723" s="1394" t="s">
        <v>5144</v>
      </c>
      <c r="G723" s="403" t="s">
        <v>2393</v>
      </c>
    </row>
    <row r="724" spans="1:7" ht="25.9" customHeight="1">
      <c r="A724" s="2335">
        <v>721</v>
      </c>
      <c r="B724" s="2339" t="s">
        <v>706</v>
      </c>
      <c r="C724" s="2339" t="s">
        <v>943</v>
      </c>
      <c r="D724" s="899" t="str">
        <f t="shared" si="13"/>
        <v>Warmwasser mit mindestens 50% erneuerbarer Energie erzeugt (Gebäudekategorie I, II, IV, VI, VIII, XI, XII) ?</v>
      </c>
      <c r="E724" s="402" t="s">
        <v>5173</v>
      </c>
      <c r="F724" s="2338" t="s">
        <v>5174</v>
      </c>
      <c r="G724" s="403" t="s">
        <v>5175</v>
      </c>
    </row>
    <row r="725" spans="1:7" ht="25.9" customHeight="1">
      <c r="A725" s="2335">
        <v>722</v>
      </c>
      <c r="B725" s="2339" t="s">
        <v>5202</v>
      </c>
      <c r="C725" s="2339" t="s">
        <v>1884</v>
      </c>
      <c r="D725" s="899" t="str">
        <f t="shared" si="13"/>
        <v>Erläuterung</v>
      </c>
      <c r="E725" s="402" t="s">
        <v>5260</v>
      </c>
      <c r="F725" s="2338" t="s">
        <v>5261</v>
      </c>
      <c r="G725" s="403" t="s">
        <v>199</v>
      </c>
    </row>
    <row r="726" spans="1:7" ht="25.9" customHeight="1">
      <c r="A726" s="2335">
        <v>723</v>
      </c>
      <c r="B726" s="2339" t="s">
        <v>5202</v>
      </c>
      <c r="C726" s="2339" t="s">
        <v>843</v>
      </c>
      <c r="D726" s="899" t="str">
        <f t="shared" si="13"/>
        <v>Beilage zu EN-Solar BE</v>
      </c>
      <c r="E726" s="402" t="s">
        <v>5291</v>
      </c>
      <c r="F726" s="2586" t="s">
        <v>5295</v>
      </c>
      <c r="G726" s="2587"/>
    </row>
    <row r="727" spans="1:7" ht="25.9" customHeight="1">
      <c r="A727" s="2335">
        <v>724</v>
      </c>
      <c r="B727" s="2339" t="s">
        <v>5202</v>
      </c>
      <c r="C727" s="2339" t="s">
        <v>844</v>
      </c>
      <c r="D727" s="899" t="str">
        <f t="shared" si="13"/>
        <v>Berechnung halber Normbedarf</v>
      </c>
      <c r="E727" s="402" t="s">
        <v>5292</v>
      </c>
      <c r="F727" s="2586" t="s">
        <v>5296</v>
      </c>
      <c r="G727" s="2587"/>
    </row>
    <row r="728" spans="1:7" ht="36.75" customHeight="1">
      <c r="A728" s="2335">
        <v>725</v>
      </c>
      <c r="B728" s="2339" t="s">
        <v>5202</v>
      </c>
      <c r="C728" s="2339" t="s">
        <v>1751</v>
      </c>
      <c r="D728" s="899" t="str">
        <f t="shared" si="13"/>
        <v>Es ist in jedem Fall sowohl die gewichtete Gesamtenergieeffizienz (gGEE) nach Art. 42 KEnG und Art. 30 KEnV</v>
      </c>
      <c r="E728" s="402" t="s">
        <v>5293</v>
      </c>
      <c r="F728" s="2586" t="s">
        <v>5264</v>
      </c>
      <c r="G728" s="2587"/>
    </row>
    <row r="729" spans="1:7" ht="36.75" customHeight="1">
      <c r="A729" s="2335">
        <v>726</v>
      </c>
      <c r="B729" s="2339" t="s">
        <v>5202</v>
      </c>
      <c r="C729" s="2339" t="s">
        <v>1047</v>
      </c>
      <c r="D729" s="899" t="str">
        <f t="shared" si="13"/>
        <v>als auch die Solarpflicht zu erfüllen.</v>
      </c>
      <c r="E729" s="402" t="s">
        <v>5297</v>
      </c>
      <c r="F729" s="2586" t="s">
        <v>5298</v>
      </c>
      <c r="G729" s="2587"/>
    </row>
    <row r="730" spans="1:7" ht="69.75" customHeight="1">
      <c r="A730" s="2335">
        <v>727</v>
      </c>
      <c r="B730" s="2339" t="s">
        <v>5202</v>
      </c>
      <c r="C730" s="2339" t="s">
        <v>1752</v>
      </c>
      <c r="D730" s="899" t="str">
        <f t="shared" si="13"/>
        <v>Bei neuen auf Dauer angelegten kleinen Wohnbauten (anrechenbare Gebäudefläche ≤ 300 m2) kann die erleichterte Solarpflicht</v>
      </c>
      <c r="E730" s="402" t="s">
        <v>5299</v>
      </c>
      <c r="F730" s="2586" t="s">
        <v>5265</v>
      </c>
      <c r="G730" s="2587"/>
    </row>
    <row r="731" spans="1:7" ht="68.25" customHeight="1">
      <c r="A731" s="2335">
        <v>728</v>
      </c>
      <c r="B731" s="2339" t="s">
        <v>5202</v>
      </c>
      <c r="C731" s="2339" t="s">
        <v>849</v>
      </c>
      <c r="D731" s="899" t="str">
        <f t="shared" si="13"/>
        <v>nach Art. 39b KEnG geltend gemacht werden, wenn der Gesamtsolarertrag mindestens dem halben Normbedarf entspricht.</v>
      </c>
      <c r="E731" s="402" t="s">
        <v>5300</v>
      </c>
      <c r="F731" s="2586" t="s">
        <v>5301</v>
      </c>
      <c r="G731" s="2587"/>
    </row>
    <row r="732" spans="1:7" ht="25.9" customHeight="1">
      <c r="A732" s="2335">
        <v>729</v>
      </c>
      <c r="B732" s="2339" t="s">
        <v>5202</v>
      </c>
      <c r="C732" s="2339" t="s">
        <v>466</v>
      </c>
      <c r="D732" s="899" t="str">
        <f t="shared" ref="D732:D748" si="14">INDEX($E$4:$G$806,$A732,$A$1)</f>
        <v>Hinweis: Die automatische Berechnung des Registerblatts erfolgt, wenn der Neubau ausschliesslich Wohnnutzung und eine</v>
      </c>
      <c r="E732" s="402" t="s">
        <v>5262</v>
      </c>
      <c r="F732" s="2586" t="s">
        <v>5302</v>
      </c>
      <c r="G732" s="2587" t="s">
        <v>199</v>
      </c>
    </row>
    <row r="733" spans="1:7" ht="25.9" customHeight="1">
      <c r="A733" s="2335">
        <v>730</v>
      </c>
      <c r="B733" s="2339" t="s">
        <v>5202</v>
      </c>
      <c r="C733" s="2339" t="s">
        <v>97</v>
      </c>
      <c r="D733" s="899" t="str">
        <f t="shared" si="14"/>
        <v>Wenn der Gesamtjahresertrag (Zeile P31) mindestens dem halben Normbedarf (Zeile P28) entspricht und der Neubau</v>
      </c>
      <c r="E733" s="402" t="s">
        <v>5303</v>
      </c>
      <c r="F733" s="2586" t="s">
        <v>5304</v>
      </c>
      <c r="G733" s="2587"/>
    </row>
    <row r="734" spans="1:7" ht="25.9" customHeight="1">
      <c r="A734" s="2335">
        <v>731</v>
      </c>
      <c r="B734" s="2339" t="s">
        <v>5202</v>
      </c>
      <c r="C734" s="2339" t="s">
        <v>98</v>
      </c>
      <c r="D734" s="899" t="str">
        <f t="shared" si="14"/>
        <v>die Bedingungen für die erleichterte Solarpflicht erfüllt, dient dieses Blatt als Beilage zum Nachweis EN-Solar BE.</v>
      </c>
      <c r="E734" s="402" t="s">
        <v>5306</v>
      </c>
      <c r="F734" s="2586" t="s">
        <v>5305</v>
      </c>
      <c r="G734" s="2587"/>
    </row>
    <row r="735" spans="1:7" ht="25.9" customHeight="1">
      <c r="A735" s="2335">
        <v>732</v>
      </c>
      <c r="B735" s="2339" t="s">
        <v>5202</v>
      </c>
      <c r="C735" s="2339" t="s">
        <v>1793</v>
      </c>
      <c r="D735" s="899"/>
      <c r="F735" s="2586"/>
      <c r="G735" s="2587"/>
    </row>
    <row r="736" spans="1:7" ht="25.9" customHeight="1">
      <c r="A736" s="2335">
        <v>733</v>
      </c>
      <c r="B736" s="2339" t="s">
        <v>5202</v>
      </c>
      <c r="C736" s="929" t="s">
        <v>551</v>
      </c>
      <c r="D736" s="899" t="str">
        <f t="shared" si="14"/>
        <v>Anrechenbare Gebäudefläche</v>
      </c>
      <c r="E736" s="402" t="s">
        <v>5249</v>
      </c>
      <c r="F736" s="2586" t="s">
        <v>5273</v>
      </c>
      <c r="G736" s="2587"/>
    </row>
    <row r="737" spans="1:7" ht="25.9" customHeight="1">
      <c r="A737" s="2335">
        <v>734</v>
      </c>
      <c r="B737" s="2339" t="s">
        <v>5202</v>
      </c>
      <c r="C737" s="2339" t="s">
        <v>496</v>
      </c>
      <c r="D737" s="899" t="str">
        <f t="shared" si="14"/>
        <v>Heizwärmebedarf Wohnbauten (Neubau)</v>
      </c>
      <c r="E737" s="402" t="s">
        <v>5223</v>
      </c>
      <c r="F737" s="2586" t="s">
        <v>5274</v>
      </c>
      <c r="G737" s="2587"/>
    </row>
    <row r="738" spans="1:7" ht="25.9" customHeight="1">
      <c r="A738" s="2335">
        <v>735</v>
      </c>
      <c r="B738" s="2339" t="s">
        <v>5202</v>
      </c>
      <c r="C738" s="2339" t="s">
        <v>865</v>
      </c>
      <c r="D738" s="899" t="str">
        <f t="shared" si="14"/>
        <v>Norm-Strombedarf Wohnbauten</v>
      </c>
      <c r="E738" s="402" t="s">
        <v>5259</v>
      </c>
      <c r="F738" s="2586" t="s">
        <v>5275</v>
      </c>
      <c r="G738" s="2587"/>
    </row>
    <row r="739" spans="1:7" ht="25.9" customHeight="1">
      <c r="A739" s="2335">
        <v>736</v>
      </c>
      <c r="B739" s="2339" t="s">
        <v>5202</v>
      </c>
      <c r="C739" s="2339" t="s">
        <v>866</v>
      </c>
      <c r="D739" s="899" t="str">
        <f t="shared" si="14"/>
        <v>Halber Normbedarf</v>
      </c>
      <c r="E739" s="402" t="s">
        <v>5224</v>
      </c>
      <c r="F739" s="2586" t="s">
        <v>5272</v>
      </c>
      <c r="G739" s="2587"/>
    </row>
    <row r="740" spans="1:7" ht="25.9" customHeight="1">
      <c r="A740" s="2335">
        <v>737</v>
      </c>
      <c r="B740" s="2339" t="s">
        <v>5202</v>
      </c>
      <c r="C740" s="2339" t="s">
        <v>867</v>
      </c>
      <c r="D740" s="899" t="str">
        <f t="shared" si="14"/>
        <v>Jahresertrag Solarthermie</v>
      </c>
      <c r="E740" s="402" t="s">
        <v>5257</v>
      </c>
      <c r="F740" s="2586" t="s">
        <v>5276</v>
      </c>
      <c r="G740" s="2587"/>
    </row>
    <row r="741" spans="1:7" ht="25.9" customHeight="1">
      <c r="A741" s="2335">
        <v>738</v>
      </c>
      <c r="B741" s="2339" t="s">
        <v>5202</v>
      </c>
      <c r="C741" s="2339" t="s">
        <v>868</v>
      </c>
      <c r="D741" s="899" t="str">
        <f t="shared" si="14"/>
        <v>Jahresertrag Photovoltaik</v>
      </c>
      <c r="E741" s="402" t="s">
        <v>5222</v>
      </c>
      <c r="F741" s="2586" t="s">
        <v>5277</v>
      </c>
      <c r="G741" s="2587"/>
    </row>
    <row r="742" spans="1:7" ht="25.9" customHeight="1">
      <c r="A742" s="2335">
        <v>739</v>
      </c>
      <c r="B742" s="2339" t="s">
        <v>5202</v>
      </c>
      <c r="C742" s="2339" t="s">
        <v>513</v>
      </c>
      <c r="D742" s="899" t="str">
        <f t="shared" si="14"/>
        <v>Gesamtjahresertrag (Solarthermie + PV)</v>
      </c>
      <c r="E742" s="402" t="s">
        <v>5258</v>
      </c>
      <c r="F742" s="2586" t="s">
        <v>5278</v>
      </c>
      <c r="G742" s="2587"/>
    </row>
    <row r="743" spans="1:7" ht="25.9" customHeight="1">
      <c r="A743" s="2335">
        <v>740</v>
      </c>
      <c r="B743" s="2339" t="s">
        <v>5202</v>
      </c>
      <c r="C743" s="2339" t="s">
        <v>870</v>
      </c>
      <c r="D743" s="899" t="str">
        <f t="shared" si="14"/>
        <v>Gesamtjahresertrag entspricht mindestens halbem Normbedarf?</v>
      </c>
      <c r="E743" s="402" t="s">
        <v>5294</v>
      </c>
      <c r="F743" s="2586" t="s">
        <v>5307</v>
      </c>
      <c r="G743" s="2587"/>
    </row>
    <row r="744" spans="1:7" ht="25.9" customHeight="1">
      <c r="A744" s="2335">
        <v>741</v>
      </c>
      <c r="B744" s="2339" t="s">
        <v>5202</v>
      </c>
      <c r="C744" s="2339" t="s">
        <v>5245</v>
      </c>
      <c r="D744" s="899" t="str">
        <f t="shared" si="14"/>
        <v>Projektwert</v>
      </c>
      <c r="E744" s="402" t="s">
        <v>5217</v>
      </c>
      <c r="F744" s="2586" t="s">
        <v>5279</v>
      </c>
      <c r="G744" s="2587"/>
    </row>
    <row r="745" spans="1:7" ht="25.9" customHeight="1">
      <c r="A745" s="2335">
        <v>742</v>
      </c>
      <c r="B745" s="2339" t="s">
        <v>53</v>
      </c>
      <c r="C745" s="2339" t="s">
        <v>5245</v>
      </c>
      <c r="D745" s="899" t="str">
        <f t="shared" si="14"/>
        <v>Solarpflicht: Anrechenbare Gebäudefläche</v>
      </c>
      <c r="E745" s="402" t="s">
        <v>5247</v>
      </c>
      <c r="F745" s="2586" t="s">
        <v>5273</v>
      </c>
      <c r="G745" s="2587"/>
    </row>
    <row r="746" spans="1:7" ht="25.9" customHeight="1">
      <c r="A746" s="2335">
        <v>743</v>
      </c>
      <c r="B746" s="2339" t="s">
        <v>5202</v>
      </c>
      <c r="C746" s="2339" t="s">
        <v>852</v>
      </c>
      <c r="D746" s="899" t="str">
        <f t="shared" si="14"/>
        <v>anrechenbare Gebäudefläche ≤ 300 m2 aufweist.</v>
      </c>
      <c r="E746" s="402" t="s">
        <v>5271</v>
      </c>
      <c r="F746" s="2586" t="s">
        <v>5266</v>
      </c>
      <c r="G746" s="2587"/>
    </row>
    <row r="747" spans="1:7" ht="25.9" customHeight="1">
      <c r="A747" s="2335">
        <v>744</v>
      </c>
      <c r="B747" s="2339" t="s">
        <v>5202</v>
      </c>
      <c r="C747" s="2339" t="s">
        <v>853</v>
      </c>
      <c r="D747" s="899" t="str">
        <f t="shared" si="14"/>
        <v xml:space="preserve"> </v>
      </c>
      <c r="E747" s="402" t="s">
        <v>199</v>
      </c>
      <c r="F747" s="2586" t="s">
        <v>5267</v>
      </c>
      <c r="G747" s="2587"/>
    </row>
    <row r="748" spans="1:7" ht="25.9" customHeight="1">
      <c r="A748" s="2335">
        <v>745</v>
      </c>
      <c r="B748" s="2339" t="s">
        <v>5202</v>
      </c>
      <c r="C748" s="2339" t="s">
        <v>1760</v>
      </c>
      <c r="D748" s="899" t="str">
        <f t="shared" si="14"/>
        <v>Normbedarf Warmwasser Wohnbauten</v>
      </c>
      <c r="E748" s="402" t="s">
        <v>5285</v>
      </c>
      <c r="F748" s="2338" t="s">
        <v>5287</v>
      </c>
    </row>
    <row r="749" spans="1:7" ht="25.9" customHeight="1">
      <c r="D749" s="899"/>
    </row>
    <row r="750" spans="1:7" ht="25.9" customHeight="1">
      <c r="F750" s="2586"/>
    </row>
    <row r="751" spans="1:7" ht="25.9" customHeight="1">
      <c r="F751" s="2586"/>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4097</v>
      </c>
      <c r="C2" s="1890"/>
      <c r="D2" s="1890"/>
      <c r="E2" s="1890"/>
      <c r="F2" s="1890"/>
      <c r="G2" s="1890"/>
      <c r="H2" s="1890"/>
      <c r="I2" s="1890"/>
      <c r="J2" s="1890"/>
      <c r="K2" s="1890"/>
      <c r="L2" s="1890"/>
      <c r="M2" s="1890"/>
      <c r="N2" s="1891"/>
      <c r="P2" s="3170" t="s">
        <v>4098</v>
      </c>
      <c r="Q2" s="3170"/>
      <c r="R2" s="3170"/>
      <c r="S2" s="3170"/>
      <c r="U2" s="1820" t="s">
        <v>4030</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Hallenbad</v>
      </c>
      <c r="P3" s="1896">
        <v>1</v>
      </c>
      <c r="Q3" s="1897">
        <v>2</v>
      </c>
      <c r="R3" s="1897">
        <v>3</v>
      </c>
      <c r="S3" s="1898">
        <v>4</v>
      </c>
      <c r="U3" s="1899"/>
      <c r="V3" s="1900"/>
      <c r="W3" s="1901">
        <v>1</v>
      </c>
    </row>
    <row r="4" spans="2:207">
      <c r="B4" s="1902" t="str">
        <f t="shared" ref="B4:B10" si="0">$S13</f>
        <v>schwerer Massivbau</v>
      </c>
      <c r="C4" s="1903" t="s">
        <v>4099</v>
      </c>
      <c r="D4" s="1904" t="s">
        <v>4100</v>
      </c>
      <c r="E4" s="1904" t="s">
        <v>4101</v>
      </c>
      <c r="F4" s="1904" t="s">
        <v>4102</v>
      </c>
      <c r="G4" s="1904" t="s">
        <v>4103</v>
      </c>
      <c r="H4" s="1904" t="s">
        <v>4104</v>
      </c>
      <c r="I4" s="1904" t="s">
        <v>4105</v>
      </c>
      <c r="J4" s="1904" t="s">
        <v>4106</v>
      </c>
      <c r="K4" s="1904" t="s">
        <v>4107</v>
      </c>
      <c r="L4" s="1904" t="s">
        <v>4108</v>
      </c>
      <c r="M4" s="1904" t="s">
        <v>4109</v>
      </c>
      <c r="N4" s="1905" t="s">
        <v>4110</v>
      </c>
      <c r="O4" s="1906" t="s">
        <v>199</v>
      </c>
      <c r="P4" s="1907" t="s">
        <v>4111</v>
      </c>
      <c r="Q4" s="1908" t="s">
        <v>4112</v>
      </c>
      <c r="R4" s="1908" t="s">
        <v>4113</v>
      </c>
      <c r="S4" s="1909" t="s">
        <v>4114</v>
      </c>
      <c r="U4" s="1910" t="str">
        <f>IF(AlleZonenNeu,V4,"")</f>
        <v/>
      </c>
      <c r="V4" s="1911" t="str">
        <f>Uebersetzung!D615&amp;" &lt;= 24 cm"</f>
        <v>Deckenstärke &lt;= 24 cm</v>
      </c>
      <c r="W4" s="1901">
        <v>2</v>
      </c>
      <c r="AN4" s="1892"/>
      <c r="AO4" s="1892"/>
      <c r="AP4" s="1892"/>
    </row>
    <row r="5" spans="2:207">
      <c r="B5" s="1912" t="str">
        <f t="shared" si="0"/>
        <v>leichter Massivbau</v>
      </c>
      <c r="C5" s="1913" t="s">
        <v>4115</v>
      </c>
      <c r="D5" s="1914" t="s">
        <v>4116</v>
      </c>
      <c r="E5" s="1914" t="s">
        <v>4117</v>
      </c>
      <c r="F5" s="1914" t="s">
        <v>4118</v>
      </c>
      <c r="G5" s="1914" t="s">
        <v>4119</v>
      </c>
      <c r="H5" s="1914" t="s">
        <v>4120</v>
      </c>
      <c r="I5" s="1914" t="s">
        <v>4121</v>
      </c>
      <c r="J5" s="1914" t="s">
        <v>4122</v>
      </c>
      <c r="K5" s="1914" t="s">
        <v>4123</v>
      </c>
      <c r="L5" s="1914" t="s">
        <v>4124</v>
      </c>
      <c r="M5" s="1914" t="s">
        <v>4125</v>
      </c>
      <c r="N5" s="1915" t="s">
        <v>4126</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4127</v>
      </c>
      <c r="D6" s="1914" t="s">
        <v>4128</v>
      </c>
      <c r="E6" s="1914" t="s">
        <v>4129</v>
      </c>
      <c r="F6" s="1914" t="s">
        <v>4130</v>
      </c>
      <c r="G6" s="1914" t="s">
        <v>4131</v>
      </c>
      <c r="H6" s="1914" t="s">
        <v>4132</v>
      </c>
      <c r="I6" s="1914" t="s">
        <v>4133</v>
      </c>
      <c r="J6" s="1914" t="s">
        <v>4134</v>
      </c>
      <c r="K6" s="1914" t="s">
        <v>4135</v>
      </c>
      <c r="L6" s="1914" t="s">
        <v>4136</v>
      </c>
      <c r="M6" s="1914" t="s">
        <v>4137</v>
      </c>
      <c r="N6" s="1915" t="s">
        <v>4138</v>
      </c>
      <c r="O6" s="1906" t="s">
        <v>199</v>
      </c>
      <c r="AN6" s="1892"/>
      <c r="AO6" s="1892"/>
      <c r="AP6" s="1892"/>
      <c r="AS6" s="1914"/>
      <c r="AT6" s="1889" t="s">
        <v>4140</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4141</v>
      </c>
      <c r="D7" s="1914" t="s">
        <v>4142</v>
      </c>
      <c r="E7" s="1914" t="s">
        <v>4143</v>
      </c>
      <c r="F7" s="1914" t="s">
        <v>4144</v>
      </c>
      <c r="G7" s="1914" t="s">
        <v>4145</v>
      </c>
      <c r="H7" s="1914" t="s">
        <v>4146</v>
      </c>
      <c r="I7" s="1914" t="s">
        <v>4147</v>
      </c>
      <c r="J7" s="1914" t="s">
        <v>4148</v>
      </c>
      <c r="K7" s="1914" t="s">
        <v>4149</v>
      </c>
      <c r="L7" s="1914" t="s">
        <v>4150</v>
      </c>
      <c r="M7" s="1914" t="s">
        <v>4151</v>
      </c>
      <c r="N7" s="1915" t="s">
        <v>4152</v>
      </c>
      <c r="O7" s="1906" t="s">
        <v>199</v>
      </c>
      <c r="P7" s="1613"/>
      <c r="S7" s="3171"/>
      <c r="T7" s="3171"/>
      <c r="V7" s="1614"/>
      <c r="AN7" s="1932" t="s">
        <v>4159</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4158</v>
      </c>
    </row>
    <row r="8" spans="2:207" ht="12.6" customHeight="1">
      <c r="B8" s="1912" t="str">
        <f t="shared" si="0"/>
        <v>Hybridbau</v>
      </c>
      <c r="C8" s="1913" t="s">
        <v>4160</v>
      </c>
      <c r="D8" s="1914" t="s">
        <v>4161</v>
      </c>
      <c r="E8" s="1914" t="s">
        <v>4162</v>
      </c>
      <c r="F8" s="1914" t="s">
        <v>4163</v>
      </c>
      <c r="G8" s="1914" t="s">
        <v>4164</v>
      </c>
      <c r="H8" s="1914" t="s">
        <v>4165</v>
      </c>
      <c r="I8" s="1914" t="s">
        <v>4166</v>
      </c>
      <c r="J8" s="1914" t="s">
        <v>4167</v>
      </c>
      <c r="K8" s="1914" t="s">
        <v>4168</v>
      </c>
      <c r="L8" s="1914" t="s">
        <v>4169</v>
      </c>
      <c r="M8" s="1914" t="s">
        <v>4170</v>
      </c>
      <c r="N8" s="1915" t="s">
        <v>4171</v>
      </c>
      <c r="O8" s="1906" t="s">
        <v>199</v>
      </c>
      <c r="T8" s="2" t="str">
        <f>R19</f>
        <v/>
      </c>
      <c r="U8" s="1820" t="str">
        <f>Uebersetzung!D614</f>
        <v>Fensteranteil</v>
      </c>
      <c r="V8" s="1935">
        <f>IF(OR(Kategorie1&gt;7,Kategorie2&gt;7,Kategorie3&gt;7,Kategorie4&gt;7,Kategorie1=6,Kategorie2=6,Kategorie3=6,Kategorie4=6),2,1)</f>
        <v>1</v>
      </c>
      <c r="AN8" s="1943" t="s">
        <v>4175</v>
      </c>
      <c r="AO8" s="1904" t="s">
        <v>4156</v>
      </c>
      <c r="AP8" s="1904" t="s">
        <v>4157</v>
      </c>
      <c r="AQ8" s="1944" t="s">
        <v>4176</v>
      </c>
      <c r="AS8" s="1941" t="s">
        <v>4173</v>
      </c>
      <c r="AT8" s="3172">
        <v>1</v>
      </c>
      <c r="AU8" s="3173"/>
      <c r="AV8" s="3174"/>
      <c r="AW8" s="3175">
        <v>2</v>
      </c>
      <c r="AX8" s="3176"/>
      <c r="AY8" s="3177"/>
      <c r="AZ8" s="3175">
        <v>3</v>
      </c>
      <c r="BA8" s="3176"/>
      <c r="BB8" s="3177"/>
      <c r="BC8" s="3167">
        <v>4</v>
      </c>
      <c r="BD8" s="3168"/>
      <c r="BE8" s="3169"/>
      <c r="BF8" s="1942">
        <v>1</v>
      </c>
      <c r="BG8" s="1914" t="s">
        <v>4174</v>
      </c>
      <c r="BH8" s="1914"/>
    </row>
    <row r="9" spans="2:207" ht="12.6" customHeight="1">
      <c r="B9" s="1912" t="str">
        <f t="shared" si="0"/>
        <v>Glasbau</v>
      </c>
      <c r="C9" s="1913" t="s">
        <v>4177</v>
      </c>
      <c r="D9" s="1914" t="s">
        <v>4178</v>
      </c>
      <c r="E9" s="1914" t="s">
        <v>4179</v>
      </c>
      <c r="F9" s="1914" t="s">
        <v>4180</v>
      </c>
      <c r="G9" s="1914" t="s">
        <v>4181</v>
      </c>
      <c r="H9" s="1914" t="s">
        <v>4182</v>
      </c>
      <c r="I9" s="1914" t="s">
        <v>4183</v>
      </c>
      <c r="J9" s="1914" t="s">
        <v>4184</v>
      </c>
      <c r="K9" s="1914" t="s">
        <v>4185</v>
      </c>
      <c r="L9" s="1914" t="s">
        <v>4186</v>
      </c>
      <c r="M9" s="1914" t="s">
        <v>4187</v>
      </c>
      <c r="N9" s="1915" t="s">
        <v>4188</v>
      </c>
      <c r="O9" s="1906" t="s">
        <v>199</v>
      </c>
      <c r="P9" s="1892"/>
      <c r="Q9" s="1892"/>
      <c r="R9" s="1892"/>
      <c r="U9" s="2396"/>
      <c r="V9" s="1945"/>
      <c r="W9" s="1946">
        <v>1</v>
      </c>
      <c r="AI9" s="1947" t="s">
        <v>4189</v>
      </c>
      <c r="AN9" s="1913" t="str">
        <f>Uebersetzung!D82</f>
        <v>MFH</v>
      </c>
      <c r="AO9" s="1951">
        <v>32.576224117548357</v>
      </c>
      <c r="AP9" s="1951">
        <v>10.161147782068317</v>
      </c>
      <c r="AQ9" s="1952">
        <v>0.11226356136850869</v>
      </c>
      <c r="AS9" s="1941" t="s">
        <v>4191</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4192</v>
      </c>
      <c r="D10" s="1908" t="s">
        <v>4193</v>
      </c>
      <c r="E10" s="1908" t="s">
        <v>4194</v>
      </c>
      <c r="F10" s="1908" t="s">
        <v>4195</v>
      </c>
      <c r="G10" s="1908" t="s">
        <v>4196</v>
      </c>
      <c r="H10" s="1908" t="s">
        <v>4197</v>
      </c>
      <c r="I10" s="1954" t="s">
        <v>4198</v>
      </c>
      <c r="J10" s="1908" t="s">
        <v>4199</v>
      </c>
      <c r="K10" s="1908" t="s">
        <v>4200</v>
      </c>
      <c r="L10" s="1908" t="s">
        <v>4201</v>
      </c>
      <c r="M10" s="1908" t="s">
        <v>4202</v>
      </c>
      <c r="N10" s="1955" t="s">
        <v>4203</v>
      </c>
      <c r="O10" s="1906" t="s">
        <v>199</v>
      </c>
      <c r="Q10" s="1614" t="s">
        <v>4204</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4191</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4027</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4206</v>
      </c>
      <c r="S11" s="1959"/>
      <c r="U11" s="1956" t="str">
        <f t="shared" si="1"/>
        <v/>
      </c>
      <c r="V11" s="1956">
        <v>10</v>
      </c>
      <c r="W11" s="2405">
        <f>IF($V$8=1,6,3)</f>
        <v>6</v>
      </c>
      <c r="Y11" s="1244" t="s">
        <v>4207</v>
      </c>
      <c r="Z11" s="1245"/>
      <c r="AA11" s="1246"/>
      <c r="AC11" s="1244" t="s">
        <v>4033</v>
      </c>
      <c r="AD11" s="1246"/>
      <c r="AF11" s="3151" t="s">
        <v>4208</v>
      </c>
      <c r="AG11" s="3153"/>
      <c r="AI11" s="1256" t="s">
        <v>4189</v>
      </c>
      <c r="AJ11" s="1960"/>
      <c r="AK11" s="1960"/>
      <c r="AL11" s="2395"/>
      <c r="AN11" s="1913" t="str">
        <f>Uebersetzung!D84</f>
        <v>Verwaltung</v>
      </c>
      <c r="AO11" s="1951">
        <v>34.693741659543832</v>
      </c>
      <c r="AP11" s="1951">
        <v>10.655744654251922</v>
      </c>
      <c r="AQ11" s="1952">
        <v>0.11460238556368595</v>
      </c>
      <c r="AS11" s="1941" t="s">
        <v>4191</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4209</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4191</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Hallenbad</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4211</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4212</v>
      </c>
      <c r="AL13" s="1972" t="s">
        <v>4213</v>
      </c>
      <c r="AM13" s="1946">
        <v>2</v>
      </c>
      <c r="AN13" s="1913" t="str">
        <f>Uebersetzung!D86</f>
        <v>Verkauf</v>
      </c>
      <c r="AO13" s="1951">
        <v>34.823768095878179</v>
      </c>
      <c r="AP13" s="1951">
        <v>10.655256989821595</v>
      </c>
      <c r="AQ13" s="1952">
        <v>0.10914512910827234</v>
      </c>
      <c r="AR13" s="1892"/>
      <c r="AS13" s="1941" t="s">
        <v>4191</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4217</v>
      </c>
      <c r="D14" s="1904" t="s">
        <v>4218</v>
      </c>
      <c r="E14" s="1904" t="s">
        <v>4219</v>
      </c>
      <c r="F14" s="1904" t="s">
        <v>4220</v>
      </c>
      <c r="G14" s="1904" t="s">
        <v>4221</v>
      </c>
      <c r="H14" s="1904" t="s">
        <v>4222</v>
      </c>
      <c r="I14" s="1904" t="s">
        <v>4223</v>
      </c>
      <c r="J14" s="1904" t="s">
        <v>4224</v>
      </c>
      <c r="K14" s="1904" t="s">
        <v>4225</v>
      </c>
      <c r="L14" s="1904" t="s">
        <v>4226</v>
      </c>
      <c r="M14" s="1904" t="s">
        <v>4227</v>
      </c>
      <c r="N14" s="1905" t="s">
        <v>4228</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4229</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4230</v>
      </c>
      <c r="AL14" s="1972" t="s">
        <v>4231</v>
      </c>
      <c r="AM14" s="1946">
        <v>3</v>
      </c>
      <c r="AN14" s="1913" t="str">
        <f>Uebersetzung!D87</f>
        <v>Restaurant</v>
      </c>
      <c r="AO14" s="1951">
        <v>39.442396088079853</v>
      </c>
      <c r="AP14" s="1951">
        <v>12.498043151092821</v>
      </c>
      <c r="AQ14" s="1952">
        <v>0.13097415492992678</v>
      </c>
      <c r="AR14" s="1892"/>
      <c r="AS14" s="1941" t="s">
        <v>4191</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4232</v>
      </c>
      <c r="D15" s="1914" t="s">
        <v>4233</v>
      </c>
      <c r="E15" s="1914" t="s">
        <v>4234</v>
      </c>
      <c r="F15" s="1914" t="s">
        <v>4235</v>
      </c>
      <c r="G15" s="1914" t="s">
        <v>4236</v>
      </c>
      <c r="H15" s="1914" t="s">
        <v>4237</v>
      </c>
      <c r="I15" s="1914" t="s">
        <v>4238</v>
      </c>
      <c r="J15" s="1914" t="s">
        <v>4239</v>
      </c>
      <c r="K15" s="1914" t="s">
        <v>4240</v>
      </c>
      <c r="L15" s="1914" t="s">
        <v>4241</v>
      </c>
      <c r="M15" s="1914" t="s">
        <v>4242</v>
      </c>
      <c r="N15" s="1915" t="s">
        <v>4243</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4244</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4245</v>
      </c>
      <c r="AL15" s="1972" t="s">
        <v>4246</v>
      </c>
      <c r="AM15" s="1946">
        <v>4</v>
      </c>
      <c r="AN15" s="1913" t="str">
        <f>Uebersetzung!D88</f>
        <v>Vers.-Lokal</v>
      </c>
      <c r="AO15" s="1951">
        <v>52.757541884887893</v>
      </c>
      <c r="AP15" s="1951">
        <v>16.768576302981074</v>
      </c>
      <c r="AQ15" s="1952">
        <v>6.5487077464963406E-2</v>
      </c>
      <c r="AR15" s="1892"/>
      <c r="AS15" s="1941" t="s">
        <v>4191</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4247</v>
      </c>
      <c r="D16" s="1914" t="s">
        <v>4248</v>
      </c>
      <c r="E16" s="1914" t="s">
        <v>4249</v>
      </c>
      <c r="F16" s="1914" t="s">
        <v>4250</v>
      </c>
      <c r="G16" s="1914" t="s">
        <v>4251</v>
      </c>
      <c r="H16" s="1914" t="s">
        <v>4252</v>
      </c>
      <c r="I16" s="1914" t="s">
        <v>4253</v>
      </c>
      <c r="J16" s="1914" t="s">
        <v>4254</v>
      </c>
      <c r="K16" s="1914" t="s">
        <v>4255</v>
      </c>
      <c r="L16" s="1914" t="s">
        <v>4256</v>
      </c>
      <c r="M16" s="1914" t="s">
        <v>4257</v>
      </c>
      <c r="N16" s="1915" t="s">
        <v>4258</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4259</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4260</v>
      </c>
      <c r="AL16" s="1972" t="s">
        <v>4261</v>
      </c>
      <c r="AM16" s="1946">
        <v>5</v>
      </c>
      <c r="AN16" s="1913" t="str">
        <f>Uebersetzung!D89</f>
        <v>Spitäler</v>
      </c>
      <c r="AO16" s="1951">
        <v>38.304774179831917</v>
      </c>
      <c r="AP16" s="1951">
        <v>11.42432599416469</v>
      </c>
      <c r="AQ16" s="1952">
        <v>9.8230616197445109E-2</v>
      </c>
      <c r="AR16" s="1892"/>
      <c r="AS16" s="1941" t="s">
        <v>4191</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4262</v>
      </c>
      <c r="D17" s="1914" t="s">
        <v>4263</v>
      </c>
      <c r="E17" s="1914" t="s">
        <v>4264</v>
      </c>
      <c r="F17" s="1914" t="s">
        <v>4265</v>
      </c>
      <c r="G17" s="1914" t="s">
        <v>4266</v>
      </c>
      <c r="H17" s="1914" t="s">
        <v>4267</v>
      </c>
      <c r="I17" s="1914" t="s">
        <v>4268</v>
      </c>
      <c r="J17" s="1914" t="s">
        <v>4269</v>
      </c>
      <c r="K17" s="1914" t="s">
        <v>4270</v>
      </c>
      <c r="L17" s="1914" t="s">
        <v>4271</v>
      </c>
      <c r="M17" s="1914" t="s">
        <v>4272</v>
      </c>
      <c r="N17" s="1915" t="s">
        <v>4273</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4274</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4275</v>
      </c>
      <c r="AL17" s="1986" t="s">
        <v>4276</v>
      </c>
      <c r="AM17" s="1946">
        <v>6</v>
      </c>
      <c r="AN17" s="1913" t="str">
        <f>Uebersetzung!D90</f>
        <v>Industrie</v>
      </c>
      <c r="AO17" s="1951">
        <v>47.081143288532459</v>
      </c>
      <c r="AP17" s="1951">
        <v>14.000545698485018</v>
      </c>
      <c r="AQ17" s="1952">
        <v>8.1361931216931225E-3</v>
      </c>
      <c r="AR17" s="1892"/>
      <c r="AS17" s="1941" t="s">
        <v>4191</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4277</v>
      </c>
      <c r="D18" s="1914" t="s">
        <v>4278</v>
      </c>
      <c r="E18" s="1914" t="s">
        <v>4279</v>
      </c>
      <c r="F18" s="1914" t="s">
        <v>4280</v>
      </c>
      <c r="G18" s="1914" t="s">
        <v>4281</v>
      </c>
      <c r="H18" s="1914" t="s">
        <v>4282</v>
      </c>
      <c r="I18" s="1914" t="s">
        <v>4283</v>
      </c>
      <c r="J18" s="1914" t="s">
        <v>4284</v>
      </c>
      <c r="K18" s="1914" t="s">
        <v>4285</v>
      </c>
      <c r="L18" s="1914" t="s">
        <v>4286</v>
      </c>
      <c r="M18" s="1914" t="s">
        <v>4287</v>
      </c>
      <c r="N18" s="1915" t="s">
        <v>4288</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4191</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4289</v>
      </c>
      <c r="D19" s="1914" t="s">
        <v>4290</v>
      </c>
      <c r="E19" s="1914" t="s">
        <v>4291</v>
      </c>
      <c r="F19" s="1914" t="s">
        <v>4292</v>
      </c>
      <c r="G19" s="1914" t="s">
        <v>4293</v>
      </c>
      <c r="H19" s="1914" t="s">
        <v>4294</v>
      </c>
      <c r="I19" s="1914" t="s">
        <v>4295</v>
      </c>
      <c r="J19" s="1914" t="s">
        <v>4296</v>
      </c>
      <c r="K19" s="1914" t="s">
        <v>4297</v>
      </c>
      <c r="L19" s="1914" t="s">
        <v>4298</v>
      </c>
      <c r="M19" s="1914" t="s">
        <v>4299</v>
      </c>
      <c r="N19" s="1915" t="s">
        <v>4300</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4191</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4301</v>
      </c>
      <c r="D20" s="1908" t="s">
        <v>4302</v>
      </c>
      <c r="E20" s="1908" t="s">
        <v>4303</v>
      </c>
      <c r="F20" s="1908" t="s">
        <v>4304</v>
      </c>
      <c r="G20" s="1908" t="s">
        <v>4305</v>
      </c>
      <c r="H20" s="1908" t="s">
        <v>4306</v>
      </c>
      <c r="I20" s="1908" t="s">
        <v>4307</v>
      </c>
      <c r="J20" s="1908" t="s">
        <v>4308</v>
      </c>
      <c r="K20" s="1908" t="s">
        <v>4309</v>
      </c>
      <c r="L20" s="1908" t="s">
        <v>4310</v>
      </c>
      <c r="M20" s="1908" t="s">
        <v>4311</v>
      </c>
      <c r="N20" s="1982" t="s">
        <v>4312</v>
      </c>
      <c r="O20" s="1906" t="s">
        <v>199</v>
      </c>
      <c r="P20" s="1987"/>
      <c r="Q20" s="1988" t="s">
        <v>4313</v>
      </c>
      <c r="R20" s="1989" t="s">
        <v>4314</v>
      </c>
      <c r="S20" s="1990" t="s">
        <v>4315</v>
      </c>
      <c r="T20" s="1946"/>
      <c r="U20" s="1984" t="str">
        <f>IF(AlleZonenNeu,IF($V$8=1,"",V20),"")</f>
        <v/>
      </c>
      <c r="V20" s="1984">
        <v>100</v>
      </c>
      <c r="W20" s="2405">
        <f>IF($V$8=1,1,12)</f>
        <v>1</v>
      </c>
      <c r="AN20" s="1907" t="str">
        <f>Uebersetzung!D93</f>
        <v>Hallenbad</v>
      </c>
      <c r="AO20" s="1993">
        <v>62.178990717955109</v>
      </c>
      <c r="AP20" s="1993">
        <v>18.456551402325005</v>
      </c>
      <c r="AQ20" s="1994">
        <v>0.13417437979765168</v>
      </c>
      <c r="AR20" s="1892"/>
      <c r="AS20" s="1941" t="s">
        <v>4191</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Hallenbad</v>
      </c>
      <c r="BH20" s="1942">
        <v>3</v>
      </c>
    </row>
    <row r="21" spans="1:297" ht="66" customHeight="1">
      <c r="A21" s="1995" t="s">
        <v>4316</v>
      </c>
      <c r="P21" s="1996" t="s">
        <v>4317</v>
      </c>
      <c r="Q21" s="1996" t="s">
        <v>333</v>
      </c>
      <c r="R21" s="1996" t="s">
        <v>4318</v>
      </c>
      <c r="S21" s="1996" t="s">
        <v>4319</v>
      </c>
      <c r="AS21" s="1914"/>
      <c r="AT21" s="3161" t="s">
        <v>4320</v>
      </c>
      <c r="AU21" s="3162"/>
      <c r="AV21" s="3163"/>
      <c r="AW21" s="3164" t="s">
        <v>333</v>
      </c>
      <c r="AX21" s="3165"/>
      <c r="AY21" s="3166"/>
      <c r="AZ21" s="3164" t="s">
        <v>4321</v>
      </c>
      <c r="BA21" s="3165"/>
      <c r="BB21" s="3166"/>
      <c r="BC21" s="3161" t="s">
        <v>831</v>
      </c>
      <c r="BD21" s="3162"/>
      <c r="BE21" s="3163"/>
      <c r="BF21" s="1914"/>
      <c r="BG21" s="1914"/>
      <c r="BH21" s="1914"/>
      <c r="GS21" s="1995"/>
    </row>
    <row r="23" spans="1:297">
      <c r="A23" s="1962"/>
      <c r="B23" s="1962"/>
      <c r="C23" s="1962" t="s">
        <v>4322</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Hallenbad</v>
      </c>
      <c r="DK23" s="1962"/>
      <c r="DL23" s="1962"/>
      <c r="DM23" s="1962"/>
      <c r="DN23" s="1962"/>
      <c r="DO23" s="1962"/>
      <c r="DP23" s="1962"/>
      <c r="DQ23" s="1962"/>
      <c r="DR23" s="1962"/>
      <c r="DS23" s="1962"/>
    </row>
    <row r="24" spans="1:297">
      <c r="C24" s="2" t="s">
        <v>4323</v>
      </c>
      <c r="D24" s="1614" t="s">
        <v>4212</v>
      </c>
      <c r="E24" s="1614" t="s">
        <v>4213</v>
      </c>
      <c r="F24" s="1614" t="s">
        <v>4230</v>
      </c>
      <c r="G24" s="1614" t="s">
        <v>4231</v>
      </c>
      <c r="H24" s="1614" t="s">
        <v>4245</v>
      </c>
      <c r="I24" s="1614" t="s">
        <v>4246</v>
      </c>
      <c r="J24" s="1614" t="s">
        <v>4260</v>
      </c>
      <c r="K24" s="1614" t="s">
        <v>4261</v>
      </c>
      <c r="L24" s="1614" t="s">
        <v>4275</v>
      </c>
      <c r="M24" s="1614" t="s">
        <v>4276</v>
      </c>
      <c r="N24" s="1614" t="s">
        <v>4212</v>
      </c>
      <c r="O24" s="1614" t="s">
        <v>4213</v>
      </c>
      <c r="P24" s="1614" t="s">
        <v>4230</v>
      </c>
      <c r="Q24" s="1614" t="s">
        <v>4231</v>
      </c>
      <c r="R24" s="1614" t="s">
        <v>4245</v>
      </c>
      <c r="S24" s="1614" t="s">
        <v>4246</v>
      </c>
      <c r="T24" s="1614" t="s">
        <v>4260</v>
      </c>
      <c r="U24" s="1614" t="s">
        <v>4261</v>
      </c>
      <c r="V24" s="1614" t="s">
        <v>4275</v>
      </c>
      <c r="W24" s="1614" t="s">
        <v>4276</v>
      </c>
      <c r="X24" s="1614" t="s">
        <v>4212</v>
      </c>
      <c r="Y24" s="1614" t="s">
        <v>4213</v>
      </c>
      <c r="Z24" s="1614" t="s">
        <v>4230</v>
      </c>
      <c r="AA24" s="1614" t="s">
        <v>4231</v>
      </c>
      <c r="AB24" s="1614" t="s">
        <v>4245</v>
      </c>
      <c r="AC24" s="1614" t="s">
        <v>4246</v>
      </c>
      <c r="AD24" s="1614" t="s">
        <v>4260</v>
      </c>
      <c r="AE24" s="1614" t="s">
        <v>4261</v>
      </c>
      <c r="AF24" s="1614" t="s">
        <v>4275</v>
      </c>
      <c r="AG24" s="1614" t="s">
        <v>4276</v>
      </c>
      <c r="AH24" s="1614" t="s">
        <v>4212</v>
      </c>
      <c r="AI24" s="1614" t="s">
        <v>4213</v>
      </c>
      <c r="AJ24" s="1614" t="s">
        <v>4230</v>
      </c>
      <c r="AK24" s="1614" t="s">
        <v>4231</v>
      </c>
      <c r="AL24" s="1614" t="s">
        <v>4245</v>
      </c>
      <c r="AM24" s="1614" t="s">
        <v>4246</v>
      </c>
      <c r="AN24" s="1614" t="s">
        <v>4260</v>
      </c>
      <c r="AO24" s="1614" t="s">
        <v>4261</v>
      </c>
      <c r="AP24" s="1614" t="s">
        <v>4275</v>
      </c>
      <c r="AQ24" s="1614" t="s">
        <v>4276</v>
      </c>
      <c r="AR24" s="1614" t="s">
        <v>4212</v>
      </c>
      <c r="AS24" s="1614" t="s">
        <v>4213</v>
      </c>
      <c r="AT24" s="1614" t="s">
        <v>4230</v>
      </c>
      <c r="AU24" s="1614" t="s">
        <v>4231</v>
      </c>
      <c r="AV24" s="1614" t="s">
        <v>4245</v>
      </c>
      <c r="AW24" s="1614" t="s">
        <v>4246</v>
      </c>
      <c r="AX24" s="1614" t="s">
        <v>4260</v>
      </c>
      <c r="AY24" s="1614" t="s">
        <v>4261</v>
      </c>
      <c r="AZ24" s="1614" t="s">
        <v>4275</v>
      </c>
      <c r="BA24" s="1614" t="s">
        <v>4276</v>
      </c>
      <c r="BB24" s="1614" t="s">
        <v>4212</v>
      </c>
      <c r="BC24" s="1614" t="s">
        <v>4213</v>
      </c>
      <c r="BD24" s="1614" t="s">
        <v>4230</v>
      </c>
      <c r="BE24" s="1614" t="s">
        <v>4231</v>
      </c>
      <c r="BF24" s="1614" t="s">
        <v>4245</v>
      </c>
      <c r="BG24" s="1614" t="s">
        <v>4246</v>
      </c>
      <c r="BH24" s="1614" t="s">
        <v>4260</v>
      </c>
      <c r="BI24" s="1614" t="s">
        <v>4261</v>
      </c>
      <c r="BJ24" s="1614" t="s">
        <v>4275</v>
      </c>
      <c r="BK24" s="1614" t="s">
        <v>4276</v>
      </c>
      <c r="BL24" s="1614" t="s">
        <v>4212</v>
      </c>
      <c r="BM24" s="1614" t="s">
        <v>4213</v>
      </c>
      <c r="BN24" s="1614" t="s">
        <v>4230</v>
      </c>
      <c r="BO24" s="1614" t="s">
        <v>4231</v>
      </c>
      <c r="BP24" s="1614" t="s">
        <v>4245</v>
      </c>
      <c r="BQ24" s="1614" t="s">
        <v>4246</v>
      </c>
      <c r="BR24" s="1614" t="s">
        <v>4260</v>
      </c>
      <c r="BS24" s="1614" t="s">
        <v>4261</v>
      </c>
      <c r="BT24" s="1614" t="s">
        <v>4275</v>
      </c>
      <c r="BU24" s="1614" t="s">
        <v>4276</v>
      </c>
      <c r="BV24" s="1614" t="s">
        <v>4212</v>
      </c>
      <c r="BW24" s="1614" t="s">
        <v>4213</v>
      </c>
      <c r="BX24" s="1614" t="s">
        <v>4230</v>
      </c>
      <c r="BY24" s="1614" t="s">
        <v>4231</v>
      </c>
      <c r="BZ24" s="1614" t="s">
        <v>4245</v>
      </c>
      <c r="CA24" s="1614" t="s">
        <v>4246</v>
      </c>
      <c r="CB24" s="1614" t="s">
        <v>4260</v>
      </c>
      <c r="CC24" s="1614" t="s">
        <v>4261</v>
      </c>
      <c r="CD24" s="1614" t="s">
        <v>4275</v>
      </c>
      <c r="CE24" s="1614" t="s">
        <v>4276</v>
      </c>
      <c r="CF24" s="1614" t="s">
        <v>4212</v>
      </c>
      <c r="CG24" s="1614" t="s">
        <v>4213</v>
      </c>
      <c r="CH24" s="1614" t="s">
        <v>4230</v>
      </c>
      <c r="CI24" s="1614" t="s">
        <v>4231</v>
      </c>
      <c r="CJ24" s="1614" t="s">
        <v>4245</v>
      </c>
      <c r="CK24" s="1614" t="s">
        <v>4246</v>
      </c>
      <c r="CL24" s="1614" t="s">
        <v>4260</v>
      </c>
      <c r="CM24" s="1614" t="s">
        <v>4261</v>
      </c>
      <c r="CN24" s="1614" t="s">
        <v>4275</v>
      </c>
      <c r="CO24" s="1614" t="s">
        <v>4276</v>
      </c>
      <c r="CP24" s="1614" t="s">
        <v>4212</v>
      </c>
      <c r="CQ24" s="1614" t="s">
        <v>4213</v>
      </c>
      <c r="CR24" s="1614" t="s">
        <v>4230</v>
      </c>
      <c r="CS24" s="1614" t="s">
        <v>4231</v>
      </c>
      <c r="CT24" s="1614" t="s">
        <v>4245</v>
      </c>
      <c r="CU24" s="1614" t="s">
        <v>4246</v>
      </c>
      <c r="CV24" s="1614" t="s">
        <v>4260</v>
      </c>
      <c r="CW24" s="1614" t="s">
        <v>4261</v>
      </c>
      <c r="CX24" s="1614" t="s">
        <v>4275</v>
      </c>
      <c r="CY24" s="1614" t="s">
        <v>4276</v>
      </c>
      <c r="CZ24" s="1614" t="s">
        <v>4212</v>
      </c>
      <c r="DA24" s="1614" t="s">
        <v>4213</v>
      </c>
      <c r="DB24" s="1614" t="s">
        <v>4230</v>
      </c>
      <c r="DC24" s="1614" t="s">
        <v>4231</v>
      </c>
      <c r="DD24" s="1614" t="s">
        <v>4245</v>
      </c>
      <c r="DE24" s="1614" t="s">
        <v>4246</v>
      </c>
      <c r="DF24" s="1614" t="s">
        <v>4260</v>
      </c>
      <c r="DG24" s="1614" t="s">
        <v>4261</v>
      </c>
      <c r="DH24" s="1614" t="s">
        <v>4275</v>
      </c>
      <c r="DI24" s="1614" t="s">
        <v>4276</v>
      </c>
      <c r="DJ24" s="1614" t="s">
        <v>4212</v>
      </c>
      <c r="DK24" s="1614" t="s">
        <v>4213</v>
      </c>
      <c r="DL24" s="1614" t="s">
        <v>4230</v>
      </c>
      <c r="DM24" s="1614" t="s">
        <v>4231</v>
      </c>
      <c r="DN24" s="1614" t="s">
        <v>4245</v>
      </c>
      <c r="DO24" s="1614" t="s">
        <v>4246</v>
      </c>
      <c r="DP24" s="1614" t="s">
        <v>4260</v>
      </c>
      <c r="DQ24" s="1614" t="s">
        <v>4261</v>
      </c>
      <c r="DR24" s="1614" t="s">
        <v>4275</v>
      </c>
      <c r="DS24" s="1614" t="s">
        <v>4276</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4324</v>
      </c>
      <c r="B25" s="1614" t="s">
        <v>4325</v>
      </c>
      <c r="C25" s="2" t="s">
        <v>4326</v>
      </c>
      <c r="D25" s="2" t="s">
        <v>4156</v>
      </c>
      <c r="E25" s="2" t="s">
        <v>4157</v>
      </c>
      <c r="F25" s="2" t="s">
        <v>4156</v>
      </c>
      <c r="G25" s="2" t="s">
        <v>4157</v>
      </c>
      <c r="H25" s="2" t="s">
        <v>4156</v>
      </c>
      <c r="I25" s="2" t="s">
        <v>4157</v>
      </c>
      <c r="J25" s="2" t="s">
        <v>4156</v>
      </c>
      <c r="K25" s="2" t="s">
        <v>4157</v>
      </c>
      <c r="L25" s="2" t="s">
        <v>4156</v>
      </c>
      <c r="M25" s="2" t="s">
        <v>4157</v>
      </c>
      <c r="N25" s="1939" t="s">
        <v>4156</v>
      </c>
      <c r="O25" s="2" t="s">
        <v>4157</v>
      </c>
      <c r="P25" s="2" t="s">
        <v>4156</v>
      </c>
      <c r="Q25" s="2" t="s">
        <v>4157</v>
      </c>
      <c r="R25" s="2" t="s">
        <v>4156</v>
      </c>
      <c r="S25" s="2" t="s">
        <v>4157</v>
      </c>
      <c r="T25" s="2" t="s">
        <v>4156</v>
      </c>
      <c r="U25" s="2" t="s">
        <v>4157</v>
      </c>
      <c r="V25" s="2" t="s">
        <v>4156</v>
      </c>
      <c r="W25" s="2" t="s">
        <v>4157</v>
      </c>
      <c r="X25" s="1939" t="s">
        <v>4156</v>
      </c>
      <c r="Y25" s="2" t="s">
        <v>4157</v>
      </c>
      <c r="Z25" s="2" t="s">
        <v>4156</v>
      </c>
      <c r="AA25" s="2" t="s">
        <v>4157</v>
      </c>
      <c r="AB25" s="2" t="s">
        <v>4156</v>
      </c>
      <c r="AC25" s="2" t="s">
        <v>4157</v>
      </c>
      <c r="AD25" s="2" t="s">
        <v>4156</v>
      </c>
      <c r="AE25" s="2" t="s">
        <v>4157</v>
      </c>
      <c r="AF25" s="2" t="s">
        <v>4156</v>
      </c>
      <c r="AG25" s="2" t="s">
        <v>4157</v>
      </c>
      <c r="AH25" s="1939" t="s">
        <v>4156</v>
      </c>
      <c r="AI25" s="2" t="s">
        <v>4157</v>
      </c>
      <c r="AJ25" s="2" t="s">
        <v>4156</v>
      </c>
      <c r="AK25" s="2" t="s">
        <v>4157</v>
      </c>
      <c r="AL25" s="2" t="s">
        <v>4156</v>
      </c>
      <c r="AM25" s="2" t="s">
        <v>4157</v>
      </c>
      <c r="AN25" s="2" t="s">
        <v>4156</v>
      </c>
      <c r="AO25" s="2" t="s">
        <v>4157</v>
      </c>
      <c r="AP25" s="2" t="s">
        <v>4156</v>
      </c>
      <c r="AQ25" s="2" t="s">
        <v>4157</v>
      </c>
      <c r="AR25" s="1939" t="s">
        <v>4156</v>
      </c>
      <c r="AS25" s="2" t="s">
        <v>4157</v>
      </c>
      <c r="AT25" s="2" t="s">
        <v>4156</v>
      </c>
      <c r="AU25" s="2" t="s">
        <v>4157</v>
      </c>
      <c r="AV25" s="2" t="s">
        <v>4156</v>
      </c>
      <c r="AW25" s="2" t="s">
        <v>4157</v>
      </c>
      <c r="AX25" s="2" t="s">
        <v>4156</v>
      </c>
      <c r="AY25" s="2" t="s">
        <v>4157</v>
      </c>
      <c r="AZ25" s="2" t="s">
        <v>4156</v>
      </c>
      <c r="BA25" s="2" t="s">
        <v>4157</v>
      </c>
      <c r="BB25" s="1939" t="s">
        <v>4156</v>
      </c>
      <c r="BC25" s="2" t="s">
        <v>4157</v>
      </c>
      <c r="BD25" s="2" t="s">
        <v>4156</v>
      </c>
      <c r="BE25" s="2" t="s">
        <v>4157</v>
      </c>
      <c r="BF25" s="2" t="s">
        <v>4156</v>
      </c>
      <c r="BG25" s="2" t="s">
        <v>4157</v>
      </c>
      <c r="BH25" s="2" t="s">
        <v>4156</v>
      </c>
      <c r="BI25" s="2" t="s">
        <v>4157</v>
      </c>
      <c r="BJ25" s="2" t="s">
        <v>4156</v>
      </c>
      <c r="BK25" s="2" t="s">
        <v>4157</v>
      </c>
      <c r="BL25" s="1939" t="s">
        <v>4156</v>
      </c>
      <c r="BM25" s="2" t="s">
        <v>4157</v>
      </c>
      <c r="BN25" s="2" t="s">
        <v>4156</v>
      </c>
      <c r="BO25" s="2" t="s">
        <v>4157</v>
      </c>
      <c r="BP25" s="2" t="s">
        <v>4156</v>
      </c>
      <c r="BQ25" s="2" t="s">
        <v>4157</v>
      </c>
      <c r="BR25" s="2" t="s">
        <v>4156</v>
      </c>
      <c r="BS25" s="2" t="s">
        <v>4157</v>
      </c>
      <c r="BT25" s="2" t="s">
        <v>4156</v>
      </c>
      <c r="BU25" s="2" t="s">
        <v>4157</v>
      </c>
      <c r="BV25" s="1939" t="s">
        <v>4156</v>
      </c>
      <c r="BW25" s="2" t="s">
        <v>4157</v>
      </c>
      <c r="BX25" s="2" t="s">
        <v>4156</v>
      </c>
      <c r="BY25" s="2" t="s">
        <v>4157</v>
      </c>
      <c r="BZ25" s="2" t="s">
        <v>4156</v>
      </c>
      <c r="CA25" s="2" t="s">
        <v>4157</v>
      </c>
      <c r="CB25" s="2" t="s">
        <v>4156</v>
      </c>
      <c r="CC25" s="2" t="s">
        <v>4157</v>
      </c>
      <c r="CD25" s="2" t="s">
        <v>4156</v>
      </c>
      <c r="CE25" s="2" t="s">
        <v>4157</v>
      </c>
      <c r="CF25" s="1939" t="s">
        <v>4156</v>
      </c>
      <c r="CG25" s="2" t="s">
        <v>4157</v>
      </c>
      <c r="CH25" s="2" t="s">
        <v>4156</v>
      </c>
      <c r="CI25" s="2" t="s">
        <v>4157</v>
      </c>
      <c r="CJ25" s="2" t="s">
        <v>4156</v>
      </c>
      <c r="CK25" s="2" t="s">
        <v>4157</v>
      </c>
      <c r="CL25" s="2" t="s">
        <v>4156</v>
      </c>
      <c r="CM25" s="2" t="s">
        <v>4157</v>
      </c>
      <c r="CN25" s="2" t="s">
        <v>4156</v>
      </c>
      <c r="CO25" s="2" t="s">
        <v>4157</v>
      </c>
      <c r="CP25" s="1939" t="s">
        <v>4156</v>
      </c>
      <c r="CQ25" s="2" t="s">
        <v>4157</v>
      </c>
      <c r="CR25" s="2" t="s">
        <v>4156</v>
      </c>
      <c r="CS25" s="2" t="s">
        <v>4157</v>
      </c>
      <c r="CT25" s="2" t="s">
        <v>4156</v>
      </c>
      <c r="CU25" s="2" t="s">
        <v>4157</v>
      </c>
      <c r="CV25" s="2" t="s">
        <v>4156</v>
      </c>
      <c r="CW25" s="2" t="s">
        <v>4157</v>
      </c>
      <c r="CX25" s="2" t="s">
        <v>4156</v>
      </c>
      <c r="CY25" s="2" t="s">
        <v>4157</v>
      </c>
      <c r="CZ25" s="1939" t="s">
        <v>4156</v>
      </c>
      <c r="DA25" s="2" t="s">
        <v>4157</v>
      </c>
      <c r="DB25" s="2" t="s">
        <v>4156</v>
      </c>
      <c r="DC25" s="2" t="s">
        <v>4157</v>
      </c>
      <c r="DD25" s="2" t="s">
        <v>4156</v>
      </c>
      <c r="DE25" s="2" t="s">
        <v>4157</v>
      </c>
      <c r="DF25" s="2" t="s">
        <v>4156</v>
      </c>
      <c r="DG25" s="2" t="s">
        <v>4157</v>
      </c>
      <c r="DH25" s="2" t="s">
        <v>4156</v>
      </c>
      <c r="DI25" s="2" t="s">
        <v>4157</v>
      </c>
      <c r="DJ25" s="1939" t="s">
        <v>4156</v>
      </c>
      <c r="DK25" s="2" t="s">
        <v>4157</v>
      </c>
      <c r="DL25" s="2" t="s">
        <v>4156</v>
      </c>
      <c r="DM25" s="2" t="s">
        <v>4157</v>
      </c>
      <c r="DN25" s="2" t="s">
        <v>4156</v>
      </c>
      <c r="DO25" s="2" t="s">
        <v>4157</v>
      </c>
      <c r="DP25" s="2" t="s">
        <v>4156</v>
      </c>
      <c r="DQ25" s="2" t="s">
        <v>4157</v>
      </c>
      <c r="DR25" s="2" t="s">
        <v>4156</v>
      </c>
      <c r="DS25" s="2" t="s">
        <v>4157</v>
      </c>
      <c r="GQ25" s="1614"/>
      <c r="GR25" s="1614"/>
    </row>
    <row r="26" spans="1:297">
      <c r="A26" s="1997" t="str">
        <f>Uebersetzung!$D630</f>
        <v>schwerer Massivbau</v>
      </c>
      <c r="B26" s="2">
        <v>1</v>
      </c>
      <c r="C26" s="2" t="s">
        <v>4327</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4328</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4329</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4330</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4331</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4332</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4333</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4334</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4335</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4336</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4337</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4338</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4211</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4229</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4244</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4259</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4274</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4327</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4328</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4329</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4330</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4331</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4332</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4333</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4334</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4335</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4336</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4337</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4338</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4211</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4229</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4244</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4259</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4274</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4327</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4328</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4329</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4330</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4331</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4332</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4333</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4334</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4335</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4336</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4337</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4338</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4211</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4229</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4244</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4259</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4274</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4327</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4328</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4329</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4330</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4331</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4332</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4333</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4334</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4335</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4336</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4337</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4338</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4211</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4229</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4244</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4259</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4274</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4327</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4328</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4329</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4330</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4331</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4332</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4333</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4334</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4335</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4336</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4337</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4338</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4211</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4229</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4244</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4259</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4274</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4327</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4328</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4329</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4330</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4331</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4332</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4333</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4334</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4335</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4336</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4337</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4338</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4211</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4229</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4244</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4259</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4274</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4327</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4328</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4329</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4330</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4331</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4332</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4333</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4334</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4335</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4336</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4337</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4338</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4211</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4229</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4244</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4259</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4274</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4339</v>
      </c>
      <c r="R302" s="2007" t="s">
        <v>4340</v>
      </c>
      <c r="BN302" s="2008" t="s">
        <v>4341</v>
      </c>
      <c r="EA302" s="2008" t="s">
        <v>4342</v>
      </c>
    </row>
    <row r="304" spans="1:189">
      <c r="A304" s="2009"/>
      <c r="B304" s="2010"/>
      <c r="C304" s="2010" t="s">
        <v>4322</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Hallenbad</v>
      </c>
      <c r="BH304" s="2010"/>
      <c r="BI304" s="2010"/>
      <c r="BJ304" s="2010"/>
      <c r="BK304" s="2012"/>
      <c r="BN304" s="2013"/>
      <c r="BO304" s="2014"/>
      <c r="BP304" s="2014" t="s">
        <v>4322</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Hallenbad</v>
      </c>
      <c r="EC304" s="2" t="s">
        <v>4322</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16"/>
      <c r="C305" s="2" t="s">
        <v>4323</v>
      </c>
      <c r="D305" s="1614" t="s">
        <v>4213</v>
      </c>
      <c r="E305" s="1614" t="s">
        <v>4231</v>
      </c>
      <c r="F305" s="1614" t="s">
        <v>4246</v>
      </c>
      <c r="G305" s="1614" t="s">
        <v>4261</v>
      </c>
      <c r="H305" s="1614" t="s">
        <v>4276</v>
      </c>
      <c r="I305" s="1614" t="s">
        <v>4213</v>
      </c>
      <c r="J305" s="1614" t="s">
        <v>4231</v>
      </c>
      <c r="K305" s="1614" t="s">
        <v>4246</v>
      </c>
      <c r="L305" s="1614" t="s">
        <v>4261</v>
      </c>
      <c r="M305" s="1614" t="s">
        <v>4276</v>
      </c>
      <c r="N305" s="1614" t="s">
        <v>4213</v>
      </c>
      <c r="O305" s="1614" t="s">
        <v>4231</v>
      </c>
      <c r="P305" s="1614" t="s">
        <v>4246</v>
      </c>
      <c r="Q305" s="1614" t="s">
        <v>4261</v>
      </c>
      <c r="R305" s="1614" t="s">
        <v>4276</v>
      </c>
      <c r="S305" s="1614" t="s">
        <v>4213</v>
      </c>
      <c r="T305" s="1614" t="s">
        <v>4231</v>
      </c>
      <c r="U305" s="1614" t="s">
        <v>4246</v>
      </c>
      <c r="V305" s="1614" t="s">
        <v>4261</v>
      </c>
      <c r="W305" s="1614" t="s">
        <v>4276</v>
      </c>
      <c r="X305" s="1614" t="s">
        <v>4213</v>
      </c>
      <c r="Y305" s="1614" t="s">
        <v>4231</v>
      </c>
      <c r="Z305" s="1614" t="s">
        <v>4246</v>
      </c>
      <c r="AA305" s="1614" t="s">
        <v>4261</v>
      </c>
      <c r="AB305" s="1614" t="s">
        <v>4276</v>
      </c>
      <c r="AC305" s="1614" t="s">
        <v>4213</v>
      </c>
      <c r="AD305" s="1614" t="s">
        <v>4231</v>
      </c>
      <c r="AE305" s="1614" t="s">
        <v>4246</v>
      </c>
      <c r="AF305" s="1614" t="s">
        <v>4261</v>
      </c>
      <c r="AG305" s="1614" t="s">
        <v>4276</v>
      </c>
      <c r="AH305" s="1614" t="s">
        <v>4213</v>
      </c>
      <c r="AI305" s="1614" t="s">
        <v>4231</v>
      </c>
      <c r="AJ305" s="1614" t="s">
        <v>4246</v>
      </c>
      <c r="AK305" s="1614" t="s">
        <v>4261</v>
      </c>
      <c r="AL305" s="1614" t="s">
        <v>4276</v>
      </c>
      <c r="AM305" s="1614" t="s">
        <v>4213</v>
      </c>
      <c r="AN305" s="1614" t="s">
        <v>4231</v>
      </c>
      <c r="AO305" s="1614" t="s">
        <v>4246</v>
      </c>
      <c r="AP305" s="1614" t="s">
        <v>4261</v>
      </c>
      <c r="AQ305" s="1614" t="s">
        <v>4276</v>
      </c>
      <c r="AR305" s="1614" t="s">
        <v>4213</v>
      </c>
      <c r="AS305" s="1614" t="s">
        <v>4231</v>
      </c>
      <c r="AT305" s="1614" t="s">
        <v>4246</v>
      </c>
      <c r="AU305" s="1614" t="s">
        <v>4261</v>
      </c>
      <c r="AV305" s="1614" t="s">
        <v>4276</v>
      </c>
      <c r="AW305" s="1614" t="s">
        <v>4213</v>
      </c>
      <c r="AX305" s="1614" t="s">
        <v>4231</v>
      </c>
      <c r="AY305" s="1614" t="s">
        <v>4246</v>
      </c>
      <c r="AZ305" s="1614" t="s">
        <v>4261</v>
      </c>
      <c r="BA305" s="1614" t="s">
        <v>4276</v>
      </c>
      <c r="BB305" s="1614" t="s">
        <v>4213</v>
      </c>
      <c r="BC305" s="1614" t="s">
        <v>4231</v>
      </c>
      <c r="BD305" s="1614" t="s">
        <v>4246</v>
      </c>
      <c r="BE305" s="1614" t="s">
        <v>4261</v>
      </c>
      <c r="BF305" s="1614" t="s">
        <v>4276</v>
      </c>
      <c r="BG305" s="1614" t="s">
        <v>4213</v>
      </c>
      <c r="BH305" s="1614" t="s">
        <v>4231</v>
      </c>
      <c r="BI305" s="1614" t="s">
        <v>4246</v>
      </c>
      <c r="BJ305" s="1614" t="s">
        <v>4261</v>
      </c>
      <c r="BK305" s="2017" t="s">
        <v>4276</v>
      </c>
      <c r="BN305" s="2018"/>
      <c r="BP305" s="2" t="s">
        <v>4323</v>
      </c>
      <c r="BQ305" s="1614" t="s">
        <v>4213</v>
      </c>
      <c r="BR305" s="1614" t="s">
        <v>4231</v>
      </c>
      <c r="BS305" s="1614" t="s">
        <v>4246</v>
      </c>
      <c r="BT305" s="1614" t="s">
        <v>4261</v>
      </c>
      <c r="BU305" s="1614" t="s">
        <v>4276</v>
      </c>
      <c r="BV305" s="1614" t="s">
        <v>4213</v>
      </c>
      <c r="BW305" s="1614" t="s">
        <v>4231</v>
      </c>
      <c r="BX305" s="1614" t="s">
        <v>4246</v>
      </c>
      <c r="BY305" s="1614" t="s">
        <v>4261</v>
      </c>
      <c r="BZ305" s="1614" t="s">
        <v>4276</v>
      </c>
      <c r="CA305" s="1614" t="s">
        <v>4213</v>
      </c>
      <c r="CB305" s="1614" t="s">
        <v>4231</v>
      </c>
      <c r="CC305" s="1614" t="s">
        <v>4246</v>
      </c>
      <c r="CD305" s="1614" t="s">
        <v>4261</v>
      </c>
      <c r="CE305" s="1614" t="s">
        <v>4276</v>
      </c>
      <c r="CF305" s="1614" t="s">
        <v>4213</v>
      </c>
      <c r="CG305" s="1614" t="s">
        <v>4231</v>
      </c>
      <c r="CH305" s="1614" t="s">
        <v>4246</v>
      </c>
      <c r="CI305" s="1614" t="s">
        <v>4261</v>
      </c>
      <c r="CJ305" s="1614" t="s">
        <v>4276</v>
      </c>
      <c r="CK305" s="1614" t="s">
        <v>4213</v>
      </c>
      <c r="CL305" s="1614" t="s">
        <v>4231</v>
      </c>
      <c r="CM305" s="1614" t="s">
        <v>4246</v>
      </c>
      <c r="CN305" s="1614" t="s">
        <v>4261</v>
      </c>
      <c r="CO305" s="1614" t="s">
        <v>4276</v>
      </c>
      <c r="CP305" s="1614" t="s">
        <v>4213</v>
      </c>
      <c r="CQ305" s="1614" t="s">
        <v>4231</v>
      </c>
      <c r="CR305" s="1614" t="s">
        <v>4246</v>
      </c>
      <c r="CS305" s="1614" t="s">
        <v>4261</v>
      </c>
      <c r="CT305" s="1614" t="s">
        <v>4276</v>
      </c>
      <c r="CU305" s="1614" t="s">
        <v>4213</v>
      </c>
      <c r="CV305" s="1614" t="s">
        <v>4231</v>
      </c>
      <c r="CW305" s="1614" t="s">
        <v>4246</v>
      </c>
      <c r="CX305" s="1614" t="s">
        <v>4261</v>
      </c>
      <c r="CY305" s="1614" t="s">
        <v>4276</v>
      </c>
      <c r="CZ305" s="1614" t="s">
        <v>4213</v>
      </c>
      <c r="DA305" s="1614" t="s">
        <v>4231</v>
      </c>
      <c r="DB305" s="1614" t="s">
        <v>4246</v>
      </c>
      <c r="DC305" s="1614" t="s">
        <v>4261</v>
      </c>
      <c r="DD305" s="1614" t="s">
        <v>4276</v>
      </c>
      <c r="DE305" s="1614" t="s">
        <v>4213</v>
      </c>
      <c r="DF305" s="1614" t="s">
        <v>4231</v>
      </c>
      <c r="DG305" s="1614" t="s">
        <v>4246</v>
      </c>
      <c r="DH305" s="1614" t="s">
        <v>4261</v>
      </c>
      <c r="DI305" s="1614" t="s">
        <v>4276</v>
      </c>
      <c r="DJ305" s="1614" t="s">
        <v>4213</v>
      </c>
      <c r="DK305" s="1614" t="s">
        <v>4231</v>
      </c>
      <c r="DL305" s="1614" t="s">
        <v>4246</v>
      </c>
      <c r="DM305" s="1614" t="s">
        <v>4261</v>
      </c>
      <c r="DN305" s="1614" t="s">
        <v>4276</v>
      </c>
      <c r="DO305" s="1614" t="s">
        <v>4213</v>
      </c>
      <c r="DP305" s="1614" t="s">
        <v>4231</v>
      </c>
      <c r="DQ305" s="1614" t="s">
        <v>4246</v>
      </c>
      <c r="DR305" s="1614" t="s">
        <v>4261</v>
      </c>
      <c r="DS305" s="1614" t="s">
        <v>4276</v>
      </c>
      <c r="DT305" s="1614" t="s">
        <v>4213</v>
      </c>
      <c r="DU305" s="1614" t="s">
        <v>4231</v>
      </c>
      <c r="DV305" s="1614" t="s">
        <v>4246</v>
      </c>
      <c r="DW305" s="1614" t="s">
        <v>4261</v>
      </c>
      <c r="DX305" s="1614" t="s">
        <v>4276</v>
      </c>
      <c r="EC305" s="2" t="s">
        <v>4323</v>
      </c>
      <c r="ED305" s="1614" t="s">
        <v>4213</v>
      </c>
      <c r="EE305" s="1614" t="s">
        <v>4231</v>
      </c>
      <c r="EF305" s="1614" t="s">
        <v>4246</v>
      </c>
      <c r="EG305" s="1614" t="s">
        <v>4261</v>
      </c>
      <c r="EH305" s="1614" t="s">
        <v>4276</v>
      </c>
      <c r="EI305" s="1614" t="s">
        <v>4213</v>
      </c>
      <c r="EJ305" s="1614" t="s">
        <v>4231</v>
      </c>
      <c r="EK305" s="1614" t="s">
        <v>4246</v>
      </c>
      <c r="EL305" s="1614" t="s">
        <v>4261</v>
      </c>
      <c r="EM305" s="1614" t="s">
        <v>4276</v>
      </c>
      <c r="EN305" s="1614" t="s">
        <v>4213</v>
      </c>
      <c r="EO305" s="1614" t="s">
        <v>4231</v>
      </c>
      <c r="EP305" s="1614" t="s">
        <v>4246</v>
      </c>
      <c r="EQ305" s="1614" t="s">
        <v>4261</v>
      </c>
      <c r="ER305" s="1614" t="s">
        <v>4276</v>
      </c>
      <c r="ES305" s="1614" t="s">
        <v>4213</v>
      </c>
      <c r="ET305" s="1614" t="s">
        <v>4231</v>
      </c>
      <c r="EU305" s="1614" t="s">
        <v>4246</v>
      </c>
      <c r="EV305" s="1614" t="s">
        <v>4261</v>
      </c>
      <c r="EW305" s="1614" t="s">
        <v>4276</v>
      </c>
      <c r="EX305" s="1614" t="s">
        <v>4213</v>
      </c>
      <c r="EY305" s="1614" t="s">
        <v>4231</v>
      </c>
      <c r="EZ305" s="1614" t="s">
        <v>4246</v>
      </c>
      <c r="FA305" s="1614" t="s">
        <v>4261</v>
      </c>
      <c r="FB305" s="1614" t="s">
        <v>4276</v>
      </c>
      <c r="FC305" s="1614" t="s">
        <v>4213</v>
      </c>
      <c r="FD305" s="1614" t="s">
        <v>4231</v>
      </c>
      <c r="FE305" s="1614" t="s">
        <v>4246</v>
      </c>
      <c r="FF305" s="1614" t="s">
        <v>4261</v>
      </c>
      <c r="FG305" s="1614" t="s">
        <v>4276</v>
      </c>
      <c r="FH305" s="1614" t="s">
        <v>4213</v>
      </c>
      <c r="FI305" s="1614" t="s">
        <v>4231</v>
      </c>
      <c r="FJ305" s="1614" t="s">
        <v>4246</v>
      </c>
      <c r="FK305" s="1614" t="s">
        <v>4261</v>
      </c>
      <c r="FL305" s="1614" t="s">
        <v>4276</v>
      </c>
      <c r="FM305" s="1614" t="s">
        <v>4213</v>
      </c>
      <c r="FN305" s="1614" t="s">
        <v>4231</v>
      </c>
      <c r="FO305" s="1614" t="s">
        <v>4246</v>
      </c>
      <c r="FP305" s="1614" t="s">
        <v>4261</v>
      </c>
      <c r="FQ305" s="1614" t="s">
        <v>4276</v>
      </c>
      <c r="FR305" s="1614" t="s">
        <v>4213</v>
      </c>
      <c r="FS305" s="1614" t="s">
        <v>4231</v>
      </c>
      <c r="FT305" s="1614" t="s">
        <v>4246</v>
      </c>
      <c r="FU305" s="1614" t="s">
        <v>4261</v>
      </c>
      <c r="FV305" s="1614" t="s">
        <v>4276</v>
      </c>
      <c r="FW305" s="1614" t="s">
        <v>4213</v>
      </c>
      <c r="FX305" s="1614" t="s">
        <v>4231</v>
      </c>
      <c r="FY305" s="1614" t="s">
        <v>4246</v>
      </c>
      <c r="FZ305" s="1614" t="s">
        <v>4261</v>
      </c>
      <c r="GA305" s="1614" t="s">
        <v>4276</v>
      </c>
      <c r="GB305" s="1614" t="s">
        <v>4213</v>
      </c>
      <c r="GC305" s="1614" t="s">
        <v>4231</v>
      </c>
      <c r="GD305" s="1614" t="s">
        <v>4246</v>
      </c>
      <c r="GE305" s="1614" t="s">
        <v>4261</v>
      </c>
      <c r="GF305" s="1614" t="s">
        <v>4276</v>
      </c>
      <c r="GG305" s="1614" t="s">
        <v>4213</v>
      </c>
      <c r="GH305" s="1614" t="s">
        <v>4231</v>
      </c>
      <c r="GI305" s="1614" t="s">
        <v>4246</v>
      </c>
      <c r="GJ305" s="1614" t="s">
        <v>4261</v>
      </c>
      <c r="GK305" s="1614" t="s">
        <v>4276</v>
      </c>
    </row>
    <row r="306" spans="1:193">
      <c r="A306" s="2016" t="s">
        <v>4324</v>
      </c>
      <c r="B306" s="1614" t="s">
        <v>4325</v>
      </c>
      <c r="C306" s="2" t="s">
        <v>4326</v>
      </c>
      <c r="D306" s="2" t="s">
        <v>4157</v>
      </c>
      <c r="E306" s="2" t="s">
        <v>4157</v>
      </c>
      <c r="F306" s="2" t="s">
        <v>4157</v>
      </c>
      <c r="G306" s="2" t="s">
        <v>4157</v>
      </c>
      <c r="H306" s="2" t="s">
        <v>4157</v>
      </c>
      <c r="I306" s="2" t="s">
        <v>4157</v>
      </c>
      <c r="J306" s="2" t="s">
        <v>4157</v>
      </c>
      <c r="K306" s="2" t="s">
        <v>4157</v>
      </c>
      <c r="L306" s="2" t="s">
        <v>4157</v>
      </c>
      <c r="M306" s="2" t="s">
        <v>4157</v>
      </c>
      <c r="N306" s="2" t="s">
        <v>4157</v>
      </c>
      <c r="O306" s="2" t="s">
        <v>4157</v>
      </c>
      <c r="P306" s="2" t="s">
        <v>4157</v>
      </c>
      <c r="Q306" s="2" t="s">
        <v>4157</v>
      </c>
      <c r="R306" s="2" t="s">
        <v>4157</v>
      </c>
      <c r="S306" s="2" t="s">
        <v>4157</v>
      </c>
      <c r="T306" s="2" t="s">
        <v>4157</v>
      </c>
      <c r="U306" s="2" t="s">
        <v>4157</v>
      </c>
      <c r="V306" s="2" t="s">
        <v>4157</v>
      </c>
      <c r="W306" s="2" t="s">
        <v>4157</v>
      </c>
      <c r="X306" s="2" t="s">
        <v>4157</v>
      </c>
      <c r="Y306" s="2" t="s">
        <v>4157</v>
      </c>
      <c r="Z306" s="2" t="s">
        <v>4157</v>
      </c>
      <c r="AA306" s="2" t="s">
        <v>4157</v>
      </c>
      <c r="AB306" s="2" t="s">
        <v>4157</v>
      </c>
      <c r="AC306" s="2" t="s">
        <v>4157</v>
      </c>
      <c r="AD306" s="2" t="s">
        <v>4157</v>
      </c>
      <c r="AE306" s="2" t="s">
        <v>4157</v>
      </c>
      <c r="AF306" s="2" t="s">
        <v>4157</v>
      </c>
      <c r="AG306" s="2" t="s">
        <v>4157</v>
      </c>
      <c r="AH306" s="2" t="s">
        <v>4157</v>
      </c>
      <c r="AI306" s="2" t="s">
        <v>4157</v>
      </c>
      <c r="AJ306" s="2" t="s">
        <v>4157</v>
      </c>
      <c r="AK306" s="2" t="s">
        <v>4157</v>
      </c>
      <c r="AL306" s="2" t="s">
        <v>4157</v>
      </c>
      <c r="AM306" s="2" t="s">
        <v>4157</v>
      </c>
      <c r="AN306" s="2" t="s">
        <v>4157</v>
      </c>
      <c r="AO306" s="2" t="s">
        <v>4157</v>
      </c>
      <c r="AP306" s="2" t="s">
        <v>4157</v>
      </c>
      <c r="AQ306" s="2" t="s">
        <v>4157</v>
      </c>
      <c r="AR306" s="2" t="s">
        <v>4157</v>
      </c>
      <c r="AS306" s="2" t="s">
        <v>4157</v>
      </c>
      <c r="AT306" s="2" t="s">
        <v>4157</v>
      </c>
      <c r="AU306" s="2" t="s">
        <v>4157</v>
      </c>
      <c r="AV306" s="2" t="s">
        <v>4157</v>
      </c>
      <c r="AW306" s="2" t="s">
        <v>4157</v>
      </c>
      <c r="AX306" s="2" t="s">
        <v>4157</v>
      </c>
      <c r="AY306" s="2" t="s">
        <v>4157</v>
      </c>
      <c r="AZ306" s="2" t="s">
        <v>4157</v>
      </c>
      <c r="BA306" s="2" t="s">
        <v>4157</v>
      </c>
      <c r="BB306" s="2" t="s">
        <v>4157</v>
      </c>
      <c r="BC306" s="2" t="s">
        <v>4157</v>
      </c>
      <c r="BD306" s="2" t="s">
        <v>4157</v>
      </c>
      <c r="BE306" s="2" t="s">
        <v>4157</v>
      </c>
      <c r="BF306" s="2" t="s">
        <v>4157</v>
      </c>
      <c r="BG306" s="2" t="s">
        <v>4157</v>
      </c>
      <c r="BH306" s="2" t="s">
        <v>4157</v>
      </c>
      <c r="BI306" s="2" t="s">
        <v>4157</v>
      </c>
      <c r="BJ306" s="2" t="s">
        <v>4157</v>
      </c>
      <c r="BK306" s="2019" t="s">
        <v>4157</v>
      </c>
      <c r="BN306" s="2018" t="s">
        <v>4324</v>
      </c>
      <c r="BO306" s="1614" t="s">
        <v>4325</v>
      </c>
      <c r="BP306" s="2" t="s">
        <v>4326</v>
      </c>
      <c r="BQ306" s="2" t="s">
        <v>4157</v>
      </c>
      <c r="BR306" s="2" t="s">
        <v>4157</v>
      </c>
      <c r="BS306" s="2" t="s">
        <v>4157</v>
      </c>
      <c r="BT306" s="2" t="s">
        <v>4157</v>
      </c>
      <c r="BU306" s="2" t="s">
        <v>4157</v>
      </c>
      <c r="BV306" s="2" t="s">
        <v>4157</v>
      </c>
      <c r="BW306" s="2" t="s">
        <v>4157</v>
      </c>
      <c r="BX306" s="2" t="s">
        <v>4157</v>
      </c>
      <c r="BY306" s="2" t="s">
        <v>4157</v>
      </c>
      <c r="BZ306" s="2" t="s">
        <v>4157</v>
      </c>
      <c r="CA306" s="2" t="s">
        <v>4157</v>
      </c>
      <c r="CB306" s="2" t="s">
        <v>4157</v>
      </c>
      <c r="CC306" s="2" t="s">
        <v>4157</v>
      </c>
      <c r="CD306" s="2" t="s">
        <v>4157</v>
      </c>
      <c r="CE306" s="2" t="s">
        <v>4157</v>
      </c>
      <c r="CF306" s="2" t="s">
        <v>4157</v>
      </c>
      <c r="CG306" s="2" t="s">
        <v>4157</v>
      </c>
      <c r="CH306" s="2" t="s">
        <v>4157</v>
      </c>
      <c r="CI306" s="2" t="s">
        <v>4157</v>
      </c>
      <c r="CJ306" s="2" t="s">
        <v>4157</v>
      </c>
      <c r="CK306" s="2" t="s">
        <v>4157</v>
      </c>
      <c r="CL306" s="2" t="s">
        <v>4157</v>
      </c>
      <c r="CM306" s="2" t="s">
        <v>4157</v>
      </c>
      <c r="CN306" s="2" t="s">
        <v>4157</v>
      </c>
      <c r="CO306" s="2" t="s">
        <v>4157</v>
      </c>
      <c r="CP306" s="2" t="s">
        <v>4157</v>
      </c>
      <c r="CQ306" s="2" t="s">
        <v>4157</v>
      </c>
      <c r="CR306" s="2" t="s">
        <v>4157</v>
      </c>
      <c r="CS306" s="2" t="s">
        <v>4157</v>
      </c>
      <c r="CT306" s="2" t="s">
        <v>4157</v>
      </c>
      <c r="CU306" s="2" t="s">
        <v>4157</v>
      </c>
      <c r="CV306" s="2" t="s">
        <v>4157</v>
      </c>
      <c r="CW306" s="2" t="s">
        <v>4157</v>
      </c>
      <c r="CX306" s="2" t="s">
        <v>4157</v>
      </c>
      <c r="CY306" s="2" t="s">
        <v>4157</v>
      </c>
      <c r="CZ306" s="2" t="s">
        <v>4157</v>
      </c>
      <c r="DA306" s="2" t="s">
        <v>4157</v>
      </c>
      <c r="DB306" s="2" t="s">
        <v>4157</v>
      </c>
      <c r="DC306" s="2" t="s">
        <v>4157</v>
      </c>
      <c r="DD306" s="2" t="s">
        <v>4157</v>
      </c>
      <c r="DE306" s="2" t="s">
        <v>4157</v>
      </c>
      <c r="DF306" s="2" t="s">
        <v>4157</v>
      </c>
      <c r="DG306" s="2" t="s">
        <v>4157</v>
      </c>
      <c r="DH306" s="2" t="s">
        <v>4157</v>
      </c>
      <c r="DI306" s="2" t="s">
        <v>4157</v>
      </c>
      <c r="DJ306" s="2" t="s">
        <v>4157</v>
      </c>
      <c r="DK306" s="2" t="s">
        <v>4157</v>
      </c>
      <c r="DL306" s="2" t="s">
        <v>4157</v>
      </c>
      <c r="DM306" s="2" t="s">
        <v>4157</v>
      </c>
      <c r="DN306" s="2" t="s">
        <v>4157</v>
      </c>
      <c r="DO306" s="2" t="s">
        <v>4157</v>
      </c>
      <c r="DP306" s="2" t="s">
        <v>4157</v>
      </c>
      <c r="DQ306" s="2" t="s">
        <v>4157</v>
      </c>
      <c r="DR306" s="2" t="s">
        <v>4157</v>
      </c>
      <c r="DS306" s="2" t="s">
        <v>4157</v>
      </c>
      <c r="DT306" s="2" t="s">
        <v>4157</v>
      </c>
      <c r="DU306" s="2" t="s">
        <v>4157</v>
      </c>
      <c r="DV306" s="2" t="s">
        <v>4157</v>
      </c>
      <c r="DW306" s="2" t="s">
        <v>4157</v>
      </c>
      <c r="DX306" s="2" t="s">
        <v>4157</v>
      </c>
      <c r="EA306" s="2" t="s">
        <v>4324</v>
      </c>
      <c r="EB306" s="1614" t="s">
        <v>4325</v>
      </c>
      <c r="EC306" s="2" t="s">
        <v>4326</v>
      </c>
      <c r="ED306" s="2" t="s">
        <v>4157</v>
      </c>
      <c r="EE306" s="2" t="s">
        <v>4157</v>
      </c>
      <c r="EF306" s="2" t="s">
        <v>4157</v>
      </c>
      <c r="EG306" s="2" t="s">
        <v>4157</v>
      </c>
      <c r="EH306" s="2" t="s">
        <v>4157</v>
      </c>
      <c r="EI306" s="2" t="s">
        <v>4157</v>
      </c>
      <c r="EJ306" s="2" t="s">
        <v>4157</v>
      </c>
      <c r="EK306" s="2" t="s">
        <v>4157</v>
      </c>
      <c r="EL306" s="2" t="s">
        <v>4157</v>
      </c>
      <c r="EM306" s="2" t="s">
        <v>4157</v>
      </c>
      <c r="EN306" s="2" t="s">
        <v>4157</v>
      </c>
      <c r="EO306" s="2" t="s">
        <v>4157</v>
      </c>
      <c r="EP306" s="2" t="s">
        <v>4157</v>
      </c>
      <c r="EQ306" s="2" t="s">
        <v>4157</v>
      </c>
      <c r="ER306" s="2" t="s">
        <v>4157</v>
      </c>
      <c r="ES306" s="2" t="s">
        <v>4157</v>
      </c>
      <c r="ET306" s="2" t="s">
        <v>4157</v>
      </c>
      <c r="EU306" s="2" t="s">
        <v>4157</v>
      </c>
      <c r="EV306" s="2" t="s">
        <v>4157</v>
      </c>
      <c r="EW306" s="2" t="s">
        <v>4157</v>
      </c>
      <c r="EX306" s="2" t="s">
        <v>4157</v>
      </c>
      <c r="EY306" s="2" t="s">
        <v>4157</v>
      </c>
      <c r="EZ306" s="2" t="s">
        <v>4157</v>
      </c>
      <c r="FA306" s="2" t="s">
        <v>4157</v>
      </c>
      <c r="FB306" s="2" t="s">
        <v>4157</v>
      </c>
      <c r="FC306" s="2" t="s">
        <v>4157</v>
      </c>
      <c r="FD306" s="2" t="s">
        <v>4157</v>
      </c>
      <c r="FE306" s="2" t="s">
        <v>4157</v>
      </c>
      <c r="FF306" s="2" t="s">
        <v>4157</v>
      </c>
      <c r="FG306" s="2" t="s">
        <v>4157</v>
      </c>
      <c r="FH306" s="2" t="s">
        <v>4157</v>
      </c>
      <c r="FI306" s="2" t="s">
        <v>4157</v>
      </c>
      <c r="FJ306" s="2" t="s">
        <v>4157</v>
      </c>
      <c r="FK306" s="2" t="s">
        <v>4157</v>
      </c>
      <c r="FL306" s="2" t="s">
        <v>4157</v>
      </c>
      <c r="FM306" s="2" t="s">
        <v>4157</v>
      </c>
      <c r="FN306" s="2" t="s">
        <v>4157</v>
      </c>
      <c r="FO306" s="2" t="s">
        <v>4157</v>
      </c>
      <c r="FP306" s="2" t="s">
        <v>4157</v>
      </c>
      <c r="FQ306" s="2" t="s">
        <v>4157</v>
      </c>
      <c r="FR306" s="2" t="s">
        <v>4157</v>
      </c>
      <c r="FS306" s="2" t="s">
        <v>4157</v>
      </c>
      <c r="FT306" s="2" t="s">
        <v>4157</v>
      </c>
      <c r="FU306" s="2" t="s">
        <v>4157</v>
      </c>
      <c r="FV306" s="2" t="s">
        <v>4157</v>
      </c>
      <c r="FW306" s="2" t="s">
        <v>4157</v>
      </c>
      <c r="FX306" s="2" t="s">
        <v>4157</v>
      </c>
      <c r="FY306" s="2" t="s">
        <v>4157</v>
      </c>
      <c r="FZ306" s="2" t="s">
        <v>4157</v>
      </c>
      <c r="GA306" s="2" t="s">
        <v>4157</v>
      </c>
      <c r="GB306" s="2" t="s">
        <v>4157</v>
      </c>
      <c r="GC306" s="2" t="s">
        <v>4157</v>
      </c>
      <c r="GD306" s="2" t="s">
        <v>4157</v>
      </c>
      <c r="GE306" s="2" t="s">
        <v>4157</v>
      </c>
      <c r="GF306" s="2" t="s">
        <v>4157</v>
      </c>
      <c r="GG306" s="2" t="s">
        <v>4157</v>
      </c>
      <c r="GH306" s="2" t="s">
        <v>4157</v>
      </c>
      <c r="GI306" s="2" t="s">
        <v>4157</v>
      </c>
      <c r="GJ306" s="2" t="s">
        <v>4157</v>
      </c>
      <c r="GK306" s="2" t="s">
        <v>4157</v>
      </c>
    </row>
    <row r="307" spans="1:193">
      <c r="A307" s="2020" t="str">
        <f>Uebersetzung!$D630</f>
        <v>schwerer Massivbau</v>
      </c>
      <c r="B307" s="2">
        <v>1</v>
      </c>
      <c r="C307" s="2" t="s">
        <v>4327</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4327</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4327</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4328</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4328</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4328</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4329</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4329</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4329</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4330</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4330</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4330</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4331</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4331</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4331</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4332</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4332</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4332</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4333</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4333</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4333</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4334</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4334</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4334</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4335</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4335</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4335</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4336</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4336</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4336</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4337</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4337</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4337</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4338</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4338</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4338</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4211</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4211</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4211</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4229</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4229</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4229</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4244</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4244</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4244</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4259</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4259</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4259</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4274</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4274</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4274</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4327</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4327</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4327</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4328</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4328</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4328</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4329</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4329</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4329</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4330</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4330</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4330</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4331</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4331</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4331</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4332</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4332</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4332</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4333</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4333</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4333</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4334</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4334</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4334</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4335</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4335</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4335</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4336</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4336</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4336</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4337</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4337</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4337</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4338</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4338</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4338</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4211</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4211</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4211</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4229</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4229</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4229</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4244</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4244</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4244</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4259</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4259</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4259</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4274</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4274</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4274</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4327</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4327</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4327</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4328</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4328</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4328</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4329</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4329</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4329</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4330</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4330</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4330</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4331</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4331</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4331</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4332</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4332</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4332</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4333</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4333</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4333</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4334</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4334</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4334</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4335</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4335</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4335</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4336</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4336</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4336</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4337</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4337</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4337</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4338</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4338</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4338</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4211</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4211</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4211</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4229</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4229</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4229</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4244</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4244</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4244</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4259</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4259</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4259</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4274</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4274</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4274</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4327</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4327</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4327</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4328</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4328</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4328</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4329</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4329</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4329</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4330</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4330</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4330</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4331</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4331</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4331</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4332</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4332</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4332</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4333</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4333</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4333</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4334</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4334</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4334</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4335</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4335</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4335</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4336</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4336</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4336</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4337</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4337</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4337</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4338</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4338</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4338</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4211</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4211</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4211</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4229</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4229</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4229</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4244</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4244</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4244</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4259</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4259</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4259</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4274</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4274</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4274</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4327</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4327</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4327</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4328</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4328</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4328</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4329</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4329</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4329</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4330</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4330</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4330</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4331</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4331</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4331</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4332</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4332</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4332</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4333</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4333</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4333</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4334</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4334</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4334</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4335</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4335</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4335</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4336</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4336</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4336</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4337</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4337</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4337</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4338</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4338</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4338</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4211</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4211</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4211</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4229</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4229</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4229</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4244</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4244</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4244</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4259</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4259</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4259</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4274</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4274</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4274</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4327</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4327</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4327</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4328</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4328</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4328</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4329</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4329</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4329</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4330</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4330</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4330</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4331</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4331</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4331</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4332</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4332</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4332</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4333</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4333</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4333</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4334</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4334</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4334</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4335</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4335</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4335</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4336</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4336</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4336</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4337</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4337</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4337</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4338</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4338</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4338</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4211</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4211</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4211</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4229</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4229</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4229</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4244</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4244</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4244</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4259</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4259</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4259</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4274</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4274</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4274</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4327</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4327</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4327</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4328</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4328</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4328</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4329</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4329</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4329</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4330</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4330</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4330</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4331</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4331</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4331</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4332</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4332</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4332</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4333</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4333</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4333</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4334</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4334</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4334</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4335</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4335</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4335</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4336</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4336</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4336</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4337</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4337</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4337</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4338</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4338</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4338</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4211</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4211</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4211</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4229</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4229</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4229</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4244</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4244</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4244</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4259</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4259</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4259</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4274</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4274</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4274</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4206</v>
      </c>
    </row>
    <row r="624" spans="5:31">
      <c r="E624" s="1614" t="s">
        <v>4320</v>
      </c>
      <c r="G624" s="1614" t="s">
        <v>333</v>
      </c>
      <c r="I624" s="1614" t="s">
        <v>4321</v>
      </c>
      <c r="K624" s="1614" t="s">
        <v>831</v>
      </c>
      <c r="AE624" s="1918" t="s">
        <v>4343</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Hallenbad</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Hallenbad</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4097</v>
      </c>
      <c r="S643" s="1918" t="s">
        <v>4209</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Hallenbad</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Hallenbad</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4344</v>
      </c>
      <c r="G645" s="1614" t="s">
        <v>4345</v>
      </c>
      <c r="H645" s="1614" t="s">
        <v>4346</v>
      </c>
      <c r="I645" s="1614" t="s">
        <v>4347</v>
      </c>
      <c r="J645" s="1614" t="s">
        <v>4348</v>
      </c>
      <c r="K645" s="1614" t="s">
        <v>4349</v>
      </c>
      <c r="L645" s="1614" t="s">
        <v>4350</v>
      </c>
      <c r="M645" s="1614" t="s">
        <v>4351</v>
      </c>
      <c r="N645" s="1614" t="s">
        <v>4352</v>
      </c>
      <c r="O645" s="1614" t="s">
        <v>4353</v>
      </c>
      <c r="P645" s="1614" t="s">
        <v>4354</v>
      </c>
      <c r="Q645" s="2045" t="s">
        <v>4355</v>
      </c>
      <c r="S645" s="2044" t="str">
        <f>$Q$13</f>
        <v>schwerer Massivbau</v>
      </c>
      <c r="T645" s="1614" t="s">
        <v>4356</v>
      </c>
      <c r="U645" s="1614" t="s">
        <v>4357</v>
      </c>
      <c r="V645" s="1614" t="s">
        <v>4358</v>
      </c>
      <c r="W645" s="1614" t="s">
        <v>4359</v>
      </c>
      <c r="X645" s="1614" t="s">
        <v>4360</v>
      </c>
      <c r="Y645" s="1614" t="s">
        <v>4361</v>
      </c>
      <c r="Z645" s="1614" t="s">
        <v>4362</v>
      </c>
      <c r="AA645" s="1614" t="s">
        <v>4363</v>
      </c>
      <c r="AB645" s="1614" t="s">
        <v>4364</v>
      </c>
      <c r="AC645" s="1614" t="s">
        <v>4365</v>
      </c>
      <c r="AD645" s="1614" t="s">
        <v>4366</v>
      </c>
      <c r="AE645" s="2045" t="s">
        <v>4367</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4368</v>
      </c>
      <c r="G646" s="1614" t="s">
        <v>4369</v>
      </c>
      <c r="H646" s="1614" t="s">
        <v>4370</v>
      </c>
      <c r="I646" s="1614" t="s">
        <v>4371</v>
      </c>
      <c r="J646" s="1614" t="s">
        <v>4372</v>
      </c>
      <c r="K646" s="1614" t="s">
        <v>4373</v>
      </c>
      <c r="L646" s="1614" t="s">
        <v>4374</v>
      </c>
      <c r="M646" s="1614" t="s">
        <v>4375</v>
      </c>
      <c r="N646" s="1614" t="s">
        <v>4376</v>
      </c>
      <c r="O646" s="1614" t="s">
        <v>4377</v>
      </c>
      <c r="P646" s="1614" t="s">
        <v>4378</v>
      </c>
      <c r="Q646" s="2045" t="s">
        <v>4379</v>
      </c>
      <c r="S646" s="2044" t="str">
        <f>$Q$14</f>
        <v>leichter Massivbau</v>
      </c>
      <c r="T646" s="1614" t="s">
        <v>4380</v>
      </c>
      <c r="U646" s="1614" t="s">
        <v>4381</v>
      </c>
      <c r="V646" s="1614" t="s">
        <v>4382</v>
      </c>
      <c r="W646" s="1614" t="s">
        <v>4383</v>
      </c>
      <c r="X646" s="1614" t="s">
        <v>4384</v>
      </c>
      <c r="Y646" s="1614" t="s">
        <v>4385</v>
      </c>
      <c r="Z646" s="1614" t="s">
        <v>4386</v>
      </c>
      <c r="AA646" s="1614" t="s">
        <v>4387</v>
      </c>
      <c r="AB646" s="1614" t="s">
        <v>4388</v>
      </c>
      <c r="AC646" s="1614" t="s">
        <v>4389</v>
      </c>
      <c r="AD646" s="1614" t="s">
        <v>4390</v>
      </c>
      <c r="AE646" s="2045" t="s">
        <v>4391</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4392</v>
      </c>
      <c r="G647" s="1614" t="s">
        <v>4393</v>
      </c>
      <c r="H647" s="1614" t="s">
        <v>4394</v>
      </c>
      <c r="I647" s="1614" t="s">
        <v>4395</v>
      </c>
      <c r="J647" s="1614" t="s">
        <v>4396</v>
      </c>
      <c r="K647" s="1614" t="s">
        <v>4397</v>
      </c>
      <c r="L647" s="1614" t="s">
        <v>4398</v>
      </c>
      <c r="M647" s="1614" t="s">
        <v>4399</v>
      </c>
      <c r="N647" s="1614" t="s">
        <v>4400</v>
      </c>
      <c r="O647" s="1614" t="s">
        <v>4401</v>
      </c>
      <c r="P647" s="1614" t="s">
        <v>4402</v>
      </c>
      <c r="Q647" s="2045" t="s">
        <v>4403</v>
      </c>
      <c r="S647" s="2044" t="str">
        <f>$Q$15</f>
        <v>schwerer Holzbau</v>
      </c>
      <c r="T647" s="1614" t="s">
        <v>4404</v>
      </c>
      <c r="U647" s="1614" t="s">
        <v>4405</v>
      </c>
      <c r="V647" s="1614" t="s">
        <v>4406</v>
      </c>
      <c r="W647" s="1614" t="s">
        <v>4407</v>
      </c>
      <c r="X647" s="1614" t="s">
        <v>4408</v>
      </c>
      <c r="Y647" s="1614" t="s">
        <v>4409</v>
      </c>
      <c r="Z647" s="1614" t="s">
        <v>4410</v>
      </c>
      <c r="AA647" s="1614" t="s">
        <v>4411</v>
      </c>
      <c r="AB647" s="1614" t="s">
        <v>4412</v>
      </c>
      <c r="AC647" s="1614" t="s">
        <v>4413</v>
      </c>
      <c r="AD647" s="1614" t="s">
        <v>4414</v>
      </c>
      <c r="AE647" s="2045" t="s">
        <v>4415</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4416</v>
      </c>
      <c r="G648" s="1614" t="s">
        <v>4417</v>
      </c>
      <c r="H648" s="1614" t="s">
        <v>4418</v>
      </c>
      <c r="I648" s="1614" t="s">
        <v>4419</v>
      </c>
      <c r="J648" s="1614" t="s">
        <v>4420</v>
      </c>
      <c r="K648" s="1614" t="s">
        <v>4421</v>
      </c>
      <c r="L648" s="1614" t="s">
        <v>4422</v>
      </c>
      <c r="M648" s="1614" t="s">
        <v>4423</v>
      </c>
      <c r="N648" s="1614" t="s">
        <v>4424</v>
      </c>
      <c r="O648" s="1614" t="s">
        <v>4425</v>
      </c>
      <c r="P648" s="1614" t="s">
        <v>4426</v>
      </c>
      <c r="Q648" s="2045" t="s">
        <v>4427</v>
      </c>
      <c r="S648" s="2044" t="str">
        <f>$Q$16</f>
        <v>leichter Holzbau</v>
      </c>
      <c r="T648" s="1614" t="s">
        <v>4428</v>
      </c>
      <c r="U648" s="1614" t="s">
        <v>4429</v>
      </c>
      <c r="V648" s="1614" t="s">
        <v>4430</v>
      </c>
      <c r="W648" s="1614" t="s">
        <v>4431</v>
      </c>
      <c r="X648" s="1614" t="s">
        <v>4432</v>
      </c>
      <c r="Y648" s="1614" t="s">
        <v>4433</v>
      </c>
      <c r="Z648" s="1614" t="s">
        <v>4434</v>
      </c>
      <c r="AA648" s="1614" t="s">
        <v>4435</v>
      </c>
      <c r="AB648" s="1614" t="s">
        <v>4436</v>
      </c>
      <c r="AC648" s="1614" t="s">
        <v>4437</v>
      </c>
      <c r="AD648" s="1614" t="s">
        <v>4438</v>
      </c>
      <c r="AE648" s="2045" t="s">
        <v>4439</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4440</v>
      </c>
      <c r="G649" s="1614" t="s">
        <v>4441</v>
      </c>
      <c r="H649" s="1614" t="s">
        <v>4442</v>
      </c>
      <c r="I649" s="1614" t="s">
        <v>4443</v>
      </c>
      <c r="J649" s="1614" t="s">
        <v>4444</v>
      </c>
      <c r="K649" s="1614" t="s">
        <v>4445</v>
      </c>
      <c r="L649" s="1614" t="s">
        <v>4446</v>
      </c>
      <c r="M649" s="1614" t="s">
        <v>4447</v>
      </c>
      <c r="N649" s="1614" t="s">
        <v>4448</v>
      </c>
      <c r="O649" s="1614" t="s">
        <v>4449</v>
      </c>
      <c r="P649" s="1614" t="s">
        <v>4450</v>
      </c>
      <c r="Q649" s="2045" t="s">
        <v>4451</v>
      </c>
      <c r="S649" s="2044" t="str">
        <f>$Q$17</f>
        <v>Hybridbau</v>
      </c>
      <c r="T649" s="1614" t="s">
        <v>4452</v>
      </c>
      <c r="U649" s="1614" t="s">
        <v>4453</v>
      </c>
      <c r="V649" s="1614" t="s">
        <v>4454</v>
      </c>
      <c r="W649" s="1614" t="s">
        <v>4455</v>
      </c>
      <c r="X649" s="1614" t="s">
        <v>4456</v>
      </c>
      <c r="Y649" s="1614" t="s">
        <v>4457</v>
      </c>
      <c r="Z649" s="1614" t="s">
        <v>4458</v>
      </c>
      <c r="AA649" s="1614" t="s">
        <v>4459</v>
      </c>
      <c r="AB649" s="1614" t="s">
        <v>4460</v>
      </c>
      <c r="AC649" s="1614" t="s">
        <v>4461</v>
      </c>
      <c r="AD649" s="1614" t="s">
        <v>4462</v>
      </c>
      <c r="AE649" s="2045" t="s">
        <v>4463</v>
      </c>
      <c r="AG649" s="2046"/>
      <c r="AH649" s="1614"/>
      <c r="AI649" s="1614"/>
      <c r="AJ649" s="1614"/>
      <c r="AK649" s="1614"/>
      <c r="AL649" s="1614"/>
      <c r="AM649" s="1614"/>
      <c r="AN649" s="1614"/>
      <c r="AO649" s="1614"/>
      <c r="AP649" s="1614"/>
      <c r="AQ649" s="1614"/>
      <c r="AR649" s="1614"/>
      <c r="AS649" s="2006"/>
    </row>
    <row r="650" spans="5:45">
      <c r="E650" s="2044" t="str">
        <f>$Q$18</f>
        <v/>
      </c>
      <c r="F650" s="1614" t="s">
        <v>4464</v>
      </c>
      <c r="G650" s="1614" t="s">
        <v>4465</v>
      </c>
      <c r="H650" s="1614" t="s">
        <v>4466</v>
      </c>
      <c r="I650" s="1614" t="s">
        <v>4467</v>
      </c>
      <c r="J650" s="1614" t="s">
        <v>4468</v>
      </c>
      <c r="K650" s="1614" t="s">
        <v>4469</v>
      </c>
      <c r="L650" s="1614" t="s">
        <v>4470</v>
      </c>
      <c r="M650" s="1614" t="s">
        <v>4471</v>
      </c>
      <c r="N650" s="1614" t="s">
        <v>4472</v>
      </c>
      <c r="O650" s="1614" t="s">
        <v>4473</v>
      </c>
      <c r="P650" s="1614" t="s">
        <v>4474</v>
      </c>
      <c r="Q650" s="2045" t="s">
        <v>4475</v>
      </c>
      <c r="S650" s="2044" t="str">
        <f>$Q$18</f>
        <v/>
      </c>
      <c r="T650" s="1614" t="s">
        <v>4476</v>
      </c>
      <c r="U650" s="1614" t="s">
        <v>4477</v>
      </c>
      <c r="V650" s="1614" t="s">
        <v>4478</v>
      </c>
      <c r="W650" s="1614" t="s">
        <v>4479</v>
      </c>
      <c r="X650" s="1614" t="s">
        <v>4480</v>
      </c>
      <c r="Y650" s="1614" t="s">
        <v>4481</v>
      </c>
      <c r="Z650" s="1614" t="s">
        <v>4482</v>
      </c>
      <c r="AA650" s="1614" t="s">
        <v>4483</v>
      </c>
      <c r="AB650" s="1614" t="s">
        <v>4484</v>
      </c>
      <c r="AC650" s="1614" t="s">
        <v>4485</v>
      </c>
      <c r="AD650" s="1614" t="s">
        <v>4486</v>
      </c>
      <c r="AE650" s="2045" t="s">
        <v>4487</v>
      </c>
      <c r="AG650" s="2046"/>
      <c r="AH650" s="1614"/>
      <c r="AI650" s="1614"/>
      <c r="AJ650" s="1614"/>
      <c r="AK650" s="1614"/>
      <c r="AL650" s="1614"/>
      <c r="AM650" s="1614"/>
      <c r="AN650" s="1614"/>
      <c r="AO650" s="1614"/>
      <c r="AP650" s="1614"/>
      <c r="AQ650" s="1614"/>
      <c r="AR650" s="1614"/>
      <c r="AS650" s="2006"/>
    </row>
    <row r="651" spans="5:45">
      <c r="E651" s="2044" t="str">
        <f>$Q$19</f>
        <v/>
      </c>
      <c r="F651" s="1330" t="s">
        <v>4488</v>
      </c>
      <c r="G651" s="1330" t="s">
        <v>4489</v>
      </c>
      <c r="H651" s="1330" t="s">
        <v>4490</v>
      </c>
      <c r="I651" s="1330" t="s">
        <v>4491</v>
      </c>
      <c r="J651" s="1330" t="s">
        <v>4492</v>
      </c>
      <c r="K651" s="1330" t="s">
        <v>4493</v>
      </c>
      <c r="L651" s="1330" t="s">
        <v>4494</v>
      </c>
      <c r="M651" s="1330" t="s">
        <v>4495</v>
      </c>
      <c r="N651" s="1330" t="s">
        <v>4496</v>
      </c>
      <c r="O651" s="1330" t="s">
        <v>4497</v>
      </c>
      <c r="P651" s="1330" t="s">
        <v>4498</v>
      </c>
      <c r="Q651" s="2047" t="s">
        <v>4499</v>
      </c>
      <c r="S651" s="2044" t="str">
        <f>$Q$19</f>
        <v/>
      </c>
      <c r="T651" s="1330" t="s">
        <v>4500</v>
      </c>
      <c r="U651" s="1330" t="s">
        <v>4501</v>
      </c>
      <c r="V651" s="1330" t="s">
        <v>4502</v>
      </c>
      <c r="W651" s="1330" t="s">
        <v>4503</v>
      </c>
      <c r="X651" s="1330" t="s">
        <v>4504</v>
      </c>
      <c r="Y651" s="1330" t="s">
        <v>4505</v>
      </c>
      <c r="Z651" s="1330" t="s">
        <v>4506</v>
      </c>
      <c r="AA651" s="1330" t="s">
        <v>4507</v>
      </c>
      <c r="AB651" s="1330" t="s">
        <v>4508</v>
      </c>
      <c r="AC651" s="1330" t="s">
        <v>4509</v>
      </c>
      <c r="AD651" s="1330" t="s">
        <v>4510</v>
      </c>
      <c r="AE651" s="2047" t="s">
        <v>4511</v>
      </c>
      <c r="AG651" s="2046"/>
      <c r="AH651" s="1614"/>
      <c r="AI651" s="1614"/>
      <c r="AJ651" s="1614"/>
      <c r="AK651" s="1614"/>
      <c r="AL651" s="1614"/>
      <c r="AM651" s="1614"/>
      <c r="AN651" s="1614"/>
      <c r="AO651" s="1614"/>
      <c r="AP651" s="1614"/>
      <c r="AQ651" s="1614"/>
      <c r="AR651" s="1614"/>
      <c r="AS651" s="2006"/>
    </row>
    <row r="657" spans="5:7">
      <c r="E657" s="1918" t="s">
        <v>4512</v>
      </c>
    </row>
    <row r="658" spans="5:7">
      <c r="E658" s="1924" t="s">
        <v>15</v>
      </c>
      <c r="F658" s="1973" t="s">
        <v>4513</v>
      </c>
      <c r="G658" s="1614" t="s">
        <v>4654</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4514</v>
      </c>
    </row>
    <row r="708" spans="1:20">
      <c r="E708" s="1614" t="s">
        <v>4515</v>
      </c>
      <c r="G708" s="2">
        <v>300</v>
      </c>
      <c r="H708" s="1614" t="s">
        <v>4516</v>
      </c>
    </row>
    <row r="709" spans="1:20">
      <c r="E709" s="1614" t="s">
        <v>4517</v>
      </c>
      <c r="G709" s="2">
        <v>1.6</v>
      </c>
      <c r="H709" s="1614" t="s">
        <v>321</v>
      </c>
    </row>
    <row r="710" spans="1:20">
      <c r="E710" s="1614" t="s">
        <v>4518</v>
      </c>
      <c r="G710" s="2">
        <f>G708/G709</f>
        <v>187.5</v>
      </c>
      <c r="H710" s="1614" t="s">
        <v>1859</v>
      </c>
    </row>
    <row r="711" spans="1:20">
      <c r="E711" s="1614" t="s">
        <v>4519</v>
      </c>
      <c r="G711" s="2">
        <f>1000/G710</f>
        <v>5.333333333333333</v>
      </c>
      <c r="H711" s="1614" t="s">
        <v>321</v>
      </c>
    </row>
    <row r="715" spans="1:20" ht="26.25">
      <c r="A715" s="2008" t="s">
        <v>4520</v>
      </c>
    </row>
    <row r="717" spans="1:20">
      <c r="C717" s="2050" t="s">
        <v>4521</v>
      </c>
    </row>
    <row r="718" spans="1:20">
      <c r="A718" s="2051" t="s">
        <v>4522</v>
      </c>
      <c r="B718" s="2051" t="s">
        <v>331</v>
      </c>
      <c r="C718" s="2051" t="s">
        <v>4523</v>
      </c>
      <c r="D718" s="2051" t="s">
        <v>4524</v>
      </c>
      <c r="E718" s="2052"/>
      <c r="F718" s="2052"/>
      <c r="G718" s="2052"/>
      <c r="H718" s="2052"/>
      <c r="I718" s="2052"/>
      <c r="J718" s="2052"/>
      <c r="K718" s="2052"/>
      <c r="L718" s="2052"/>
      <c r="M718" s="2052"/>
      <c r="N718" s="2052"/>
      <c r="O718" s="2052"/>
      <c r="P718" s="2052"/>
      <c r="Q718" s="2052"/>
      <c r="R718" s="2052"/>
      <c r="S718" s="2052"/>
      <c r="T718" s="2052"/>
    </row>
    <row r="719" spans="1:20">
      <c r="A719" s="2052" t="s">
        <v>4525</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Hallenbad</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4526</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4527</v>
      </c>
      <c r="B732" s="2051" t="s">
        <v>331</v>
      </c>
      <c r="C732" s="2051" t="s">
        <v>4528</v>
      </c>
      <c r="D732" s="2051" t="s">
        <v>4529</v>
      </c>
      <c r="E732" s="2052"/>
      <c r="F732" s="2052"/>
      <c r="G732" s="2052"/>
      <c r="H732" s="2052"/>
      <c r="I732" s="2052"/>
      <c r="J732" s="2052"/>
      <c r="K732" s="2052"/>
      <c r="L732" s="2052"/>
      <c r="M732" s="2052"/>
      <c r="N732" s="2052"/>
      <c r="O732" s="2052"/>
      <c r="P732" s="2052"/>
      <c r="Q732" s="2052"/>
      <c r="R732" s="2052"/>
      <c r="S732" s="2052"/>
      <c r="T732" s="2052"/>
    </row>
    <row r="733" spans="1:20">
      <c r="A733" s="2052" t="s">
        <v>4530</v>
      </c>
      <c r="B733" s="2053" t="str">
        <f>Uebersetzung!D82</f>
        <v>MFH</v>
      </c>
      <c r="C733" s="2056">
        <v>8</v>
      </c>
      <c r="D733" s="2056">
        <v>10</v>
      </c>
      <c r="E733" s="2052"/>
      <c r="F733" s="2052" t="s">
        <v>4531</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4531</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4531</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4531</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4531</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4531</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4531</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Hallenbad</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4532</v>
      </c>
      <c r="B745" s="2058" t="s">
        <v>4533</v>
      </c>
      <c r="C745" s="2051" t="s">
        <v>4534</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4535</v>
      </c>
      <c r="B746" s="2060" t="s">
        <v>4536</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4537</v>
      </c>
      <c r="B747" s="2060" t="s">
        <v>4538</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4539</v>
      </c>
      <c r="B748" s="2060" t="s">
        <v>4540</v>
      </c>
      <c r="C748" s="2052">
        <v>5</v>
      </c>
      <c r="D748" s="2052" t="s">
        <v>4541</v>
      </c>
      <c r="E748" s="2052"/>
      <c r="F748" s="2052"/>
      <c r="G748" s="2052"/>
      <c r="H748" s="2052"/>
      <c r="I748" s="2052"/>
      <c r="J748" s="2052"/>
      <c r="K748" s="2052"/>
      <c r="L748" s="2052"/>
      <c r="M748" s="2052"/>
      <c r="N748" s="2052"/>
      <c r="O748" s="2052"/>
      <c r="P748" s="2052"/>
      <c r="Q748" s="2052"/>
      <c r="R748" s="2052"/>
      <c r="S748" s="2052"/>
      <c r="T748" s="2052"/>
    </row>
    <row r="749" spans="1:20">
      <c r="A749" s="2052" t="s">
        <v>4542</v>
      </c>
      <c r="B749" s="2060" t="s">
        <v>4543</v>
      </c>
      <c r="C749" s="2052">
        <v>3</v>
      </c>
      <c r="D749" s="2052" t="s">
        <v>4541</v>
      </c>
      <c r="E749" s="2052"/>
      <c r="F749" s="2052"/>
      <c r="G749" s="2052"/>
      <c r="H749" s="2052"/>
      <c r="I749" s="2052"/>
      <c r="J749" s="2052"/>
      <c r="K749" s="2052"/>
      <c r="L749" s="2052"/>
      <c r="M749" s="2052"/>
      <c r="N749" s="2052"/>
      <c r="O749" s="2052"/>
      <c r="P749" s="2052"/>
      <c r="Q749" s="2052"/>
      <c r="R749" s="2052"/>
      <c r="S749" s="2052"/>
      <c r="T749" s="2052"/>
    </row>
    <row r="750" spans="1:20">
      <c r="A750" s="2052" t="s">
        <v>4544</v>
      </c>
      <c r="B750" s="2060" t="s">
        <v>4545</v>
      </c>
      <c r="C750" s="2052">
        <v>13.3</v>
      </c>
      <c r="D750" s="2052" t="s">
        <v>4546</v>
      </c>
      <c r="E750" s="2052"/>
      <c r="F750" s="2052"/>
      <c r="G750" s="2052"/>
      <c r="H750" s="2052"/>
      <c r="I750" s="2052"/>
      <c r="J750" s="2052"/>
      <c r="K750" s="2052"/>
      <c r="L750" s="2052"/>
      <c r="M750" s="2052"/>
      <c r="N750" s="2052"/>
      <c r="O750" s="2052"/>
      <c r="P750" s="2052"/>
      <c r="Q750" s="2052"/>
      <c r="R750" s="2052"/>
      <c r="S750" s="2052"/>
      <c r="T750" s="2052"/>
    </row>
    <row r="751" spans="1:20">
      <c r="A751" s="2052" t="s">
        <v>4547</v>
      </c>
      <c r="B751" s="2060" t="s">
        <v>4548</v>
      </c>
      <c r="C751" s="2052">
        <v>5.2</v>
      </c>
      <c r="D751" s="2052" t="s">
        <v>4546</v>
      </c>
      <c r="E751" s="2052"/>
      <c r="F751" s="2052"/>
      <c r="G751" s="2052"/>
      <c r="H751" s="2052"/>
      <c r="I751" s="2052"/>
      <c r="J751" s="2052"/>
      <c r="K751" s="2052"/>
      <c r="L751" s="2052"/>
      <c r="M751" s="2052"/>
      <c r="N751" s="2052"/>
      <c r="O751" s="2052"/>
      <c r="P751" s="2052"/>
      <c r="Q751" s="2052"/>
      <c r="R751" s="2052"/>
      <c r="S751" s="2052"/>
      <c r="T751" s="2052"/>
    </row>
    <row r="752" spans="1:20">
      <c r="A752" s="2052" t="s">
        <v>4549</v>
      </c>
      <c r="B752" s="2060" t="s">
        <v>4550</v>
      </c>
      <c r="C752" s="2052">
        <f>C748*FaktorPE_TH_ECO_N</f>
        <v>0.5</v>
      </c>
      <c r="D752" s="2052" t="s">
        <v>4551</v>
      </c>
      <c r="E752" s="2052"/>
      <c r="F752" s="2052"/>
      <c r="G752" s="2052"/>
      <c r="H752" s="2052"/>
      <c r="I752" s="2052"/>
      <c r="J752" s="2052"/>
      <c r="K752" s="2052"/>
      <c r="L752" s="2052"/>
      <c r="M752" s="2052"/>
      <c r="N752" s="2052"/>
      <c r="O752" s="2052"/>
      <c r="P752" s="2052"/>
      <c r="Q752" s="2052"/>
      <c r="R752" s="2052"/>
      <c r="S752" s="2052"/>
      <c r="T752" s="2052"/>
    </row>
    <row r="753" spans="1:20">
      <c r="A753" s="2052" t="s">
        <v>4552</v>
      </c>
      <c r="B753" s="2060" t="s">
        <v>4553</v>
      </c>
      <c r="C753" s="2052">
        <f>C749*FaktorPE_TH_ECO_N</f>
        <v>0.30000000000000004</v>
      </c>
      <c r="D753" s="2052" t="s">
        <v>4551</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4554</v>
      </c>
      <c r="B755" s="2058" t="s">
        <v>4533</v>
      </c>
      <c r="C755" s="2051" t="s">
        <v>4555</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4556</v>
      </c>
      <c r="B756" s="2053" t="s">
        <v>4557</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4558</v>
      </c>
      <c r="B757" s="2053" t="s">
        <v>4559</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4560</v>
      </c>
      <c r="B758" s="2053" t="s">
        <v>4561</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4562</v>
      </c>
      <c r="B759" s="2053" t="s">
        <v>4563</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4564</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4565</v>
      </c>
      <c r="B763" s="2052" t="s">
        <v>4566</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4567</v>
      </c>
      <c r="B764" s="2052" t="s">
        <v>4568</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4569</v>
      </c>
      <c r="B765" s="2052" t="s">
        <v>4570</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4571</v>
      </c>
      <c r="B766" s="2052" t="s">
        <v>4572</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4573</v>
      </c>
      <c r="B767" s="2052" t="s">
        <v>4574</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4575</v>
      </c>
      <c r="B768" s="2052" t="s">
        <v>4576</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v2.97</v>
      </c>
      <c r="C1" s="3"/>
      <c r="D1" s="3"/>
      <c r="E1" s="340"/>
      <c r="F1" s="3"/>
      <c r="G1" s="3"/>
      <c r="H1" s="3"/>
      <c r="I1" s="158"/>
      <c r="J1" s="3"/>
      <c r="K1" s="7" t="str">
        <f>Uebersetzung!D5</f>
        <v>Formular EN101b, v2.97, zu verwenden bis 31. Dezember 2026</v>
      </c>
    </row>
    <row r="2" spans="1:35" ht="17.100000000000001" customHeight="1">
      <c r="B2" s="36"/>
      <c r="C2" s="35"/>
      <c r="D2" s="115"/>
      <c r="E2" s="36"/>
      <c r="F2" s="115"/>
      <c r="G2" s="2641" t="str">
        <f>Uebersetzung!D375</f>
        <v>Zusatzangaben für den</v>
      </c>
      <c r="H2" s="2642"/>
      <c r="I2" s="2642"/>
      <c r="J2" s="2642"/>
      <c r="K2" s="2643"/>
      <c r="N2" s="5">
        <f>IF(OR(AND(Kategorie1=2,V77=""),AND(Kategorie2=2,W77=""),AND(Kategorie3=2,X77=""),AND(Kategorie1=4,Y77="")),1,0)</f>
        <v>0</v>
      </c>
    </row>
    <row r="3" spans="1:35" ht="17.100000000000001" customHeight="1">
      <c r="B3" s="43"/>
      <c r="C3" s="42"/>
      <c r="D3" s="53"/>
      <c r="E3" s="2644"/>
      <c r="F3" s="2645"/>
      <c r="G3" s="2646" t="str">
        <f>Uebersetzung!D376</f>
        <v>Minergie-Nachweis</v>
      </c>
      <c r="H3" s="2647"/>
      <c r="I3" s="2647"/>
      <c r="J3" s="2647"/>
      <c r="K3" s="2648"/>
      <c r="N3" s="298" t="s">
        <v>1861</v>
      </c>
      <c r="U3" s="298" t="s">
        <v>1887</v>
      </c>
      <c r="AC3" s="298" t="s">
        <v>2538</v>
      </c>
    </row>
    <row r="4" spans="1:35" ht="9.9499999999999993" customHeight="1">
      <c r="B4" s="94"/>
      <c r="C4" s="60"/>
      <c r="D4" s="116"/>
      <c r="E4" s="94"/>
      <c r="F4" s="116"/>
      <c r="G4" s="2649"/>
      <c r="H4" s="2650"/>
      <c r="I4" s="2650"/>
      <c r="J4" s="2650"/>
      <c r="K4" s="2651"/>
      <c r="T4" s="1535"/>
      <c r="U4" s="2783" t="s">
        <v>1893</v>
      </c>
      <c r="V4" s="2783"/>
      <c r="W4" s="2783"/>
      <c r="AC4" s="2778" t="s">
        <v>3764</v>
      </c>
      <c r="AD4" s="2778"/>
      <c r="AE4" s="2778"/>
      <c r="AF4" s="2778"/>
      <c r="AG4" s="2778"/>
      <c r="AH4" s="2778"/>
    </row>
    <row r="5" spans="1:35" ht="9.9499999999999993" hidden="1" customHeight="1">
      <c r="B5" s="3"/>
      <c r="C5" s="3"/>
      <c r="D5" s="3"/>
      <c r="E5" s="340"/>
      <c r="F5" s="3"/>
      <c r="G5" s="3"/>
      <c r="H5" s="3"/>
      <c r="I5" s="158"/>
      <c r="J5" s="3"/>
      <c r="K5" s="4"/>
      <c r="T5" s="1535"/>
      <c r="U5" s="2783"/>
      <c r="V5" s="2783"/>
      <c r="W5" s="2783"/>
      <c r="AC5" s="2778"/>
      <c r="AD5" s="2778"/>
      <c r="AE5" s="2778"/>
      <c r="AF5" s="2778"/>
      <c r="AG5" s="2778"/>
      <c r="AH5" s="2778"/>
    </row>
    <row r="6" spans="1:35" ht="9.9499999999999993" hidden="1" customHeight="1">
      <c r="B6" s="6"/>
      <c r="C6" s="6"/>
      <c r="D6" s="3"/>
      <c r="E6" s="3"/>
      <c r="F6" s="3"/>
      <c r="G6" s="3"/>
      <c r="H6" s="3"/>
      <c r="I6" s="3"/>
      <c r="J6" s="3"/>
      <c r="T6" s="1535"/>
      <c r="U6" s="2783"/>
      <c r="V6" s="2783"/>
      <c r="W6" s="2783"/>
      <c r="AC6" s="2778"/>
      <c r="AD6" s="2778"/>
      <c r="AE6" s="2778"/>
      <c r="AF6" s="2778"/>
      <c r="AG6" s="2778"/>
      <c r="AH6" s="2778"/>
    </row>
    <row r="7" spans="1:35" ht="20.100000000000001" hidden="1" customHeight="1">
      <c r="B7" s="777" t="str">
        <f>Eingaben!B7</f>
        <v xml:space="preserve">Gemeinde:             </v>
      </c>
      <c r="C7" s="2771" t="str">
        <f>IF(Projekt1="","",Projekt1)</f>
        <v/>
      </c>
      <c r="D7" s="2771"/>
      <c r="E7" s="2771"/>
      <c r="F7" s="2771"/>
      <c r="G7" s="864" t="str">
        <f>Eingaben!G7</f>
        <v xml:space="preserve">Parz.-Nr.:  </v>
      </c>
      <c r="H7" s="978" t="str">
        <f>IF(Projekt2="","",Projekt2)</f>
        <v/>
      </c>
      <c r="I7" s="864" t="str">
        <f>Eingaben!I7</f>
        <v xml:space="preserve">Geb.-Nr.:  </v>
      </c>
      <c r="J7" s="2772" t="str">
        <f>IF(Projekt3="","",Projekt3)</f>
        <v/>
      </c>
      <c r="K7" s="2773"/>
      <c r="T7" s="1535"/>
      <c r="U7" s="2783"/>
      <c r="V7" s="2783"/>
      <c r="W7" s="2783"/>
      <c r="AC7" s="2778"/>
      <c r="AD7" s="2778"/>
      <c r="AE7" s="2778"/>
      <c r="AF7" s="2778"/>
      <c r="AG7" s="2778"/>
      <c r="AH7" s="2778"/>
    </row>
    <row r="8" spans="1:35" ht="20.100000000000001" hidden="1" customHeight="1">
      <c r="B8" s="778" t="str">
        <f>Eingaben!B8</f>
        <v xml:space="preserve">Bauvorhaben:            </v>
      </c>
      <c r="C8" s="2779" t="str">
        <f>IF(Projekt4="","",Projekt4)</f>
        <v/>
      </c>
      <c r="D8" s="2779"/>
      <c r="E8" s="2779"/>
      <c r="F8" s="2779"/>
      <c r="G8" s="2779"/>
      <c r="H8" s="2779"/>
      <c r="I8" s="965"/>
      <c r="J8" s="2780" t="str">
        <f>IF(Eingaben!J8="","",Eingaben!J8)</f>
        <v/>
      </c>
      <c r="K8" s="2781"/>
      <c r="T8" s="1535"/>
      <c r="U8" s="2783"/>
      <c r="V8" s="2783"/>
      <c r="W8" s="2783"/>
      <c r="AC8" s="2778"/>
      <c r="AD8" s="2778"/>
      <c r="AE8" s="2778"/>
      <c r="AF8" s="2778"/>
      <c r="AG8" s="2778"/>
      <c r="AH8" s="2778"/>
    </row>
    <row r="9" spans="1:35" ht="20.100000000000001" hidden="1" customHeight="1">
      <c r="T9" s="1535"/>
      <c r="U9" s="2783"/>
      <c r="V9" s="2783"/>
      <c r="W9" s="2783"/>
      <c r="AC9" s="2778"/>
      <c r="AD9" s="2778"/>
      <c r="AE9" s="2778"/>
      <c r="AF9" s="2778"/>
      <c r="AG9" s="2778"/>
      <c r="AH9" s="2778"/>
    </row>
    <row r="10" spans="1:35" ht="1.1499999999999999" customHeight="1">
      <c r="B10" s="8"/>
      <c r="C10" s="8"/>
      <c r="D10" s="9"/>
      <c r="E10" s="9"/>
      <c r="F10" s="9"/>
      <c r="G10" s="9"/>
      <c r="T10" s="1535"/>
      <c r="U10" s="2783"/>
      <c r="V10" s="2783"/>
      <c r="W10" s="2783"/>
      <c r="AC10" s="2778"/>
      <c r="AD10" s="2778"/>
      <c r="AE10" s="2778"/>
      <c r="AF10" s="2778"/>
      <c r="AG10" s="2778"/>
      <c r="AH10" s="2778"/>
    </row>
    <row r="11" spans="1:35" ht="6" customHeight="1">
      <c r="A11" s="1518"/>
      <c r="F11" s="9"/>
      <c r="G11" s="9"/>
      <c r="N11" s="1700"/>
      <c r="O11" s="1006"/>
      <c r="P11" s="1006">
        <v>1</v>
      </c>
      <c r="Q11" s="1117"/>
      <c r="R11" s="1006"/>
      <c r="S11" s="1119">
        <v>1</v>
      </c>
      <c r="T11" s="1535">
        <v>1</v>
      </c>
      <c r="U11" s="2784"/>
      <c r="V11" s="2784"/>
      <c r="W11" s="2784"/>
      <c r="AC11" s="2778"/>
      <c r="AD11" s="2778"/>
      <c r="AE11" s="2778"/>
      <c r="AF11" s="2778"/>
      <c r="AG11" s="2778"/>
      <c r="AH11" s="2778"/>
    </row>
    <row r="12" spans="1:35" ht="18" customHeight="1">
      <c r="A12" s="1518" t="s">
        <v>2819</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f>Eingaben!I13</f>
        <v>0</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1815</v>
      </c>
      <c r="V12" s="1124">
        <v>1</v>
      </c>
      <c r="W12" s="1118">
        <v>2</v>
      </c>
      <c r="X12" s="1118">
        <v>3</v>
      </c>
      <c r="Y12" s="379">
        <v>4</v>
      </c>
      <c r="Z12" s="1253" t="s">
        <v>1834</v>
      </c>
      <c r="AC12" s="1701" t="s">
        <v>650</v>
      </c>
      <c r="AD12" s="1118" t="b">
        <f>_neu1</f>
        <v>0</v>
      </c>
      <c r="AE12" s="1118" t="b">
        <f>_neu2</f>
        <v>0</v>
      </c>
      <c r="AF12" s="1118" t="b">
        <f>_neu3</f>
        <v>0</v>
      </c>
      <c r="AG12" s="1118" t="b">
        <f>_neu4</f>
        <v>0</v>
      </c>
      <c r="AH12" s="1702"/>
    </row>
    <row r="13" spans="1:35" ht="18" customHeight="1">
      <c r="A13" s="1518" t="s">
        <v>2820</v>
      </c>
      <c r="B13" s="10" t="str">
        <f>Uebersetzung!D17</f>
        <v>( aus SIA 380/1 )</v>
      </c>
      <c r="C13" s="151"/>
      <c r="D13" s="11"/>
      <c r="E13" s="856" t="str">
        <f>Uebersetzung!D18</f>
        <v xml:space="preserve">Art des Nachweises: </v>
      </c>
      <c r="F13" s="1854" t="str">
        <f>Eingaben!E14</f>
        <v>behördlicher Nachweis</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3528</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1824</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3756</v>
      </c>
      <c r="AD14" s="1679">
        <f>AD13</f>
        <v>0</v>
      </c>
      <c r="AE14" s="1679">
        <f>IF(Zonen&gt;1,AE13,0)</f>
        <v>0</v>
      </c>
      <c r="AF14" s="1679">
        <f>IF(Zonen&gt;2,AF13,0)</f>
        <v>0</v>
      </c>
      <c r="AG14" s="1679">
        <f>IF(Zonen&gt;3,AG13,0)</f>
        <v>0</v>
      </c>
      <c r="AH14" s="1703">
        <f>SUM(AD14:AG14)</f>
        <v>0</v>
      </c>
      <c r="AI14" s="5" t="s">
        <v>321</v>
      </c>
    </row>
    <row r="15" spans="1:35" ht="24" customHeight="1">
      <c r="A15" s="1518" t="s">
        <v>2821</v>
      </c>
      <c r="B15" s="2632" t="str">
        <f>Eingaben!B16</f>
        <v>Gebäudekategorie</v>
      </c>
      <c r="C15" s="2633"/>
      <c r="D15" s="2652" t="str">
        <f>IF(minergiep,IF(AND(Standardwerte!BO55,Standardwerte!BO56,Standardwerte!BO57,Standardwerte!BO58),"","mit MINERGIE-P nicht möglich"),"")</f>
        <v/>
      </c>
      <c r="E15" s="2782"/>
      <c r="F15" s="1293" t="str">
        <f>Eingaben!F16</f>
        <v xml:space="preserve"> </v>
      </c>
      <c r="G15" s="1293">
        <f>Eingaben!G16</f>
        <v>0</v>
      </c>
      <c r="H15" s="1293">
        <f>Eingaben!H16</f>
        <v>0</v>
      </c>
      <c r="I15" s="1293">
        <f>Eingaben!I16</f>
        <v>0</v>
      </c>
      <c r="J15" s="1001"/>
      <c r="K15" s="197" t="str">
        <f>Uebersetzung!D35</f>
        <v>(Mittel)</v>
      </c>
      <c r="N15" s="1146" t="s">
        <v>1814</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1892</v>
      </c>
      <c r="V15" s="1200">
        <f>Standardwerte!J47</f>
        <v>0</v>
      </c>
      <c r="W15" s="1197">
        <f>Standardwerte!J48</f>
        <v>0</v>
      </c>
      <c r="X15" s="1197">
        <f>Standardwerte!J49</f>
        <v>0</v>
      </c>
      <c r="Y15" s="1258">
        <f>Standardwerte!J50</f>
        <v>0</v>
      </c>
      <c r="Z15" s="1120"/>
      <c r="AA15" s="5" t="s">
        <v>524</v>
      </c>
      <c r="AC15" s="1415" t="s">
        <v>3762</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2822</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1817</v>
      </c>
      <c r="O17" s="1653">
        <f>IF(F18&gt;0,1,IF(F19=$N$12,0.9,1))</f>
        <v>1</v>
      </c>
      <c r="P17" s="1118">
        <f>IF(G18&gt;0,1,IF(G19=$N$12,0.9,1))</f>
        <v>1</v>
      </c>
      <c r="Q17" s="1118">
        <f>IF(H18&gt;0,1,IF(H19=$N$12,0.9,1))</f>
        <v>1</v>
      </c>
      <c r="R17" s="1883">
        <f>IF(I18&gt;0,1,IF(I19=$N$12,0.9,1))</f>
        <v>1</v>
      </c>
      <c r="S17" s="1119"/>
      <c r="U17" s="1087" t="s">
        <v>3524</v>
      </c>
      <c r="V17" s="1087" t="b">
        <f>IF(AND(minergiep,Kategorie1=13),TRUE,FALSE)</f>
        <v>0</v>
      </c>
      <c r="W17" s="143" t="b">
        <f>IF(AND(minergiep,Kategorie2=13),TRUE,FALSE)</f>
        <v>0</v>
      </c>
      <c r="X17" s="143" t="b">
        <f>IF(AND(minergiep,Kategorie3=13),TRUE,FALSE)</f>
        <v>0</v>
      </c>
      <c r="Y17" s="1120" t="b">
        <f>IF(AND(minergiep,Kategorie4=13),TRUE,FALSE)</f>
        <v>0</v>
      </c>
      <c r="Z17" s="1120"/>
      <c r="AB17" s="1368" t="s">
        <v>2495</v>
      </c>
      <c r="AC17" s="1415" t="s">
        <v>2492</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2823</v>
      </c>
      <c r="B18" s="1876" t="str">
        <f>Uebersetzung!D468&amp;":"</f>
        <v>Warmwasser, SIA 385:</v>
      </c>
      <c r="C18" s="1880" t="str">
        <f>Uebersetzung!D248</f>
        <v>Gewichtung</v>
      </c>
      <c r="D18" s="1884"/>
      <c r="E18" s="185" t="s">
        <v>524</v>
      </c>
      <c r="F18" s="1434"/>
      <c r="G18" s="1047"/>
      <c r="H18" s="1047"/>
      <c r="I18" s="1047"/>
      <c r="J18" s="184"/>
      <c r="K18" s="857"/>
      <c r="L18" s="299"/>
      <c r="N18" s="1146" t="s">
        <v>1816</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3759</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2824</v>
      </c>
      <c r="B19" s="2634" t="str">
        <f>Uebersetzung!D362</f>
        <v xml:space="preserve"> - Abminderung Armaturen</v>
      </c>
      <c r="C19" s="2635"/>
      <c r="D19" s="194" t="s">
        <v>1819</v>
      </c>
      <c r="E19" s="248"/>
      <c r="F19" s="1004"/>
      <c r="G19" s="1004"/>
      <c r="H19" s="1004"/>
      <c r="I19" s="1004"/>
      <c r="J19" s="200"/>
      <c r="K19" s="857"/>
      <c r="M19" s="298" t="b">
        <f>IF(AND(minergiea,OR(Kategorie1=7,Kategorie2=7,Kategorie3=7,Kategorie4=7,Kategorie1=12,Kategorie2=12,Kategorie3=12,Kategorie4=12),Nachweis!O52=0),TRUE,FALSE)</f>
        <v>0</v>
      </c>
      <c r="N19" s="751" t="s">
        <v>3933</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1891</v>
      </c>
      <c r="V19" s="1156">
        <f>IF(V18&lt;&gt;"",V18*V15,)</f>
        <v>0</v>
      </c>
      <c r="W19" s="1156">
        <f>IF(W18&lt;&gt;"",W18*W15,)</f>
        <v>0</v>
      </c>
      <c r="X19" s="1156">
        <f>IF(X18&lt;&gt;"",X18*X15,)</f>
        <v>0</v>
      </c>
      <c r="Y19" s="1156">
        <f>IF(Y18&lt;&gt;"",Y18*Y15,)</f>
        <v>0</v>
      </c>
      <c r="Z19" s="1150">
        <f>IF(Z14&gt;0,(V19*V14+W19*W14+X19*X14+Y19*Y14)/Z14,)</f>
        <v>0</v>
      </c>
      <c r="AA19" s="5" t="s">
        <v>524</v>
      </c>
      <c r="AB19" s="1368" t="s">
        <v>2495</v>
      </c>
      <c r="AC19" s="1415" t="s">
        <v>3760</v>
      </c>
      <c r="AD19" s="1412">
        <f>AD18*0.3</f>
        <v>0</v>
      </c>
      <c r="AE19" s="1412">
        <f>AE18*0.3</f>
        <v>0</v>
      </c>
      <c r="AF19" s="1412">
        <f>AF18*0.3</f>
        <v>0</v>
      </c>
      <c r="AG19" s="1412">
        <f>AG18*0.3</f>
        <v>0</v>
      </c>
      <c r="AH19" s="1704">
        <f>SUM(AD19:AG19)</f>
        <v>0</v>
      </c>
      <c r="AI19" s="5" t="s">
        <v>524</v>
      </c>
    </row>
    <row r="20" spans="1:35" ht="18" hidden="1" customHeight="1">
      <c r="A20" s="1518" t="s">
        <v>2825</v>
      </c>
      <c r="B20" s="2634" t="str">
        <f>Uebersetzung!D363</f>
        <v xml:space="preserve"> - Abminderung Warmhaltung</v>
      </c>
      <c r="C20" s="2635"/>
      <c r="D20" s="194" t="s">
        <v>1818</v>
      </c>
      <c r="E20" s="248"/>
      <c r="F20" s="1004"/>
      <c r="G20" s="1004"/>
      <c r="H20" s="1004"/>
      <c r="I20" s="1004"/>
      <c r="J20" s="1134"/>
      <c r="K20" s="857"/>
      <c r="AC20" s="1143"/>
      <c r="AD20" s="151"/>
      <c r="AE20" s="151"/>
      <c r="AF20" s="151"/>
      <c r="AG20" s="151"/>
      <c r="AH20" s="1143"/>
    </row>
    <row r="21" spans="1:35" ht="22.15" customHeight="1">
      <c r="A21" s="1518" t="s">
        <v>3025</v>
      </c>
      <c r="B21" s="2776" t="str">
        <f>Uebersetzung!D521</f>
        <v xml:space="preserve"> - Wärmerückgewinnung Abwasser in %</v>
      </c>
      <c r="C21" s="2684"/>
      <c r="D21" s="194"/>
      <c r="E21" s="194"/>
      <c r="F21" s="1609"/>
      <c r="G21" s="1609"/>
      <c r="H21" s="1609"/>
      <c r="I21" s="1609"/>
      <c r="J21" s="182"/>
      <c r="K21" s="1610">
        <f>IF(EBF&gt;0,(IF(wohnen1,F21,0)*Eingaben!O2+IF(wohnen2,G21,0)*Eingaben!P2+IF(wohnen3,H21,0)*Eingaben!Q2+IF(wohnen4,I21,0)*Eingaben!R2)/EBF,0)</f>
        <v>0</v>
      </c>
      <c r="N21" s="1145" t="s">
        <v>1836</v>
      </c>
      <c r="O21" s="717">
        <v>1</v>
      </c>
      <c r="P21" s="781">
        <v>2</v>
      </c>
      <c r="Q21" s="781">
        <v>3</v>
      </c>
      <c r="R21" s="1108">
        <v>4</v>
      </c>
      <c r="S21" s="1138" t="s">
        <v>1834</v>
      </c>
      <c r="U21" s="1259" t="s">
        <v>2198</v>
      </c>
      <c r="AC21" s="1146" t="s">
        <v>3763</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634" t="str">
        <f>Uebersetzung!D411</f>
        <v xml:space="preserve"> - Länge Warmhaltebänder</v>
      </c>
      <c r="C22" s="2635"/>
      <c r="D22" s="194" t="s">
        <v>1496</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f>IF(bern,MINERGIE!N12&amp;"/",)</f>
        <v>0</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t="str">
        <f>Eingaben!F21</f>
        <v xml:space="preserve"> </v>
      </c>
      <c r="G24" s="1002">
        <f>Eingaben!G21</f>
        <v>0</v>
      </c>
      <c r="H24" s="1002">
        <f>Eingaben!H21</f>
        <v>0</v>
      </c>
      <c r="I24" s="1002">
        <f>Eingaben!I21</f>
        <v>0</v>
      </c>
      <c r="J24" s="2515"/>
      <c r="K24" s="2516"/>
      <c r="N24" s="1151" t="s">
        <v>1836</v>
      </c>
      <c r="O24" s="1152"/>
      <c r="P24" s="1152"/>
      <c r="Q24" s="1152"/>
      <c r="R24" s="1152"/>
      <c r="S24" s="1153"/>
      <c r="AH24" s="1414">
        <f>SUM(AD24:AG24)</f>
        <v>0</v>
      </c>
    </row>
    <row r="25" spans="1:35" ht="22.15" customHeight="1">
      <c r="A25" s="1518" t="s">
        <v>2826</v>
      </c>
      <c r="B25" s="2634" t="str">
        <f>Uebersetzung!D410</f>
        <v>Anzahl Wohneinheiten</v>
      </c>
      <c r="C25" s="2635"/>
      <c r="D25" s="194"/>
      <c r="E25" s="194"/>
      <c r="F25" s="1133"/>
      <c r="G25" s="1133"/>
      <c r="H25" s="1133"/>
      <c r="I25" s="2514"/>
      <c r="J25" s="2517"/>
      <c r="K25" s="1710">
        <f>IF(M25=1,Fehler1,SUM(F25:I25))</f>
        <v>0</v>
      </c>
      <c r="M25" s="298">
        <f>IF(OR(AND(Kategorie1=2,F25=""),AND(Kategorie2=2,G25=""),AND(Kategorie3=2,H25=""),AND(Kategorie4=2,I25="")),1,0)</f>
        <v>0</v>
      </c>
      <c r="N25" s="1142" t="s">
        <v>2207</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2199</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3038</v>
      </c>
      <c r="AH25" s="1612">
        <v>0.3</v>
      </c>
    </row>
    <row r="26" spans="1:35" ht="22.15" customHeight="1">
      <c r="A26" s="1518" t="s">
        <v>3077</v>
      </c>
      <c r="B26" s="2710" t="str">
        <f>Uebersetzung!D522</f>
        <v>Gebäudehöhe</v>
      </c>
      <c r="C26" s="2777"/>
      <c r="D26" s="1672"/>
      <c r="E26" s="1081" t="s">
        <v>1496</v>
      </c>
      <c r="F26" s="1671">
        <f>Z36</f>
        <v>0</v>
      </c>
      <c r="G26" s="1671">
        <f>Z36</f>
        <v>0</v>
      </c>
      <c r="H26" s="1671">
        <f>Z36</f>
        <v>0</v>
      </c>
      <c r="I26" s="1671">
        <f>Z36</f>
        <v>0</v>
      </c>
      <c r="J26" s="1084"/>
      <c r="K26" s="1628"/>
      <c r="N26" s="1618" t="s">
        <v>1826</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74" t="str">
        <f>Uebersetzung!D364</f>
        <v>Elektrizität</v>
      </c>
      <c r="C30" s="2775"/>
      <c r="D30" s="412"/>
      <c r="E30" s="412"/>
      <c r="F30" s="412"/>
      <c r="G30" s="412"/>
      <c r="H30" s="412"/>
      <c r="I30" s="412"/>
      <c r="J30" s="918"/>
      <c r="K30" s="1005"/>
      <c r="N30" s="1141" t="s">
        <v>1830</v>
      </c>
      <c r="O30" s="1118">
        <f>IF(wohnen1,F23,0)</f>
        <v>0</v>
      </c>
      <c r="P30" s="1118">
        <f>IF(wohnen2,G23,0)</f>
        <v>0</v>
      </c>
      <c r="Q30" s="1118">
        <f>IF(wohnen3,H23,0)</f>
        <v>0</v>
      </c>
      <c r="R30" s="1118">
        <f>IF(wohnen4,I23,0)</f>
        <v>0</v>
      </c>
      <c r="S30" s="1111">
        <f>SUM(O30:R30)</f>
        <v>0</v>
      </c>
      <c r="T30" s="143" t="s">
        <v>321</v>
      </c>
      <c r="U30" s="298" t="s">
        <v>1862</v>
      </c>
      <c r="W30" s="1411"/>
      <c r="AC30" s="1402" t="s">
        <v>3758</v>
      </c>
    </row>
    <row r="31" spans="1:35" ht="5.25" hidden="1" customHeight="1">
      <c r="B31" s="10"/>
      <c r="C31" s="17"/>
      <c r="D31" s="14"/>
      <c r="E31" s="14"/>
      <c r="F31" s="11"/>
      <c r="G31" s="11"/>
      <c r="H31" s="15"/>
      <c r="I31" s="16"/>
      <c r="J31" s="17"/>
      <c r="K31" s="18"/>
      <c r="N31" s="1142" t="s">
        <v>1829</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1833</v>
      </c>
      <c r="O32" s="1126">
        <f>O30*0.8</f>
        <v>0</v>
      </c>
      <c r="P32" s="1126">
        <f>P30*0.8</f>
        <v>0</v>
      </c>
      <c r="Q32" s="1126">
        <f>Q30*0.8</f>
        <v>0</v>
      </c>
      <c r="R32" s="1126">
        <f>R30*0.8</f>
        <v>0</v>
      </c>
      <c r="S32" s="962">
        <f>SUM(O32:R32)</f>
        <v>0</v>
      </c>
      <c r="T32" s="143" t="s">
        <v>321</v>
      </c>
      <c r="U32" s="1117" t="s">
        <v>1815</v>
      </c>
      <c r="V32" s="1124">
        <v>1</v>
      </c>
      <c r="W32" s="1118">
        <v>2</v>
      </c>
      <c r="X32" s="1118">
        <v>3</v>
      </c>
      <c r="Y32" s="379">
        <v>4</v>
      </c>
      <c r="Z32" s="379" t="s">
        <v>1824</v>
      </c>
      <c r="AC32" s="1418" t="s">
        <v>3757</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2827</v>
      </c>
      <c r="B33" s="2632" t="str">
        <f>Uebersetzung!D366</f>
        <v>Aufzugsanlage / Lift vorhanden?</v>
      </c>
      <c r="C33" s="2633"/>
      <c r="D33" s="201"/>
      <c r="E33" s="202"/>
      <c r="F33" s="1102"/>
      <c r="G33" s="1102"/>
      <c r="H33" s="1102"/>
      <c r="I33" s="1102"/>
      <c r="J33" s="181"/>
      <c r="K33" s="857"/>
      <c r="L33" s="298" t="s">
        <v>199</v>
      </c>
      <c r="N33" s="1142" t="s">
        <v>1831</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3529</v>
      </c>
      <c r="V33" s="1126">
        <f>IF(Kategorie1&lt;13,Eingaben!O2,0)</f>
        <v>0</v>
      </c>
      <c r="W33" s="1126">
        <f>IF(Kategorie2&lt;13,Eingaben!P2,0)</f>
        <v>0</v>
      </c>
      <c r="X33" s="1126">
        <f>IF(Kategorie3&lt;13,Eingaben!Q2,0)</f>
        <v>0</v>
      </c>
      <c r="Y33" s="1126">
        <f>IF(Kategorie4&lt;13,Eingaben!R2,0)</f>
        <v>0</v>
      </c>
      <c r="Z33" s="962">
        <f>SUM(V33:Y33)</f>
        <v>0</v>
      </c>
      <c r="AC33" s="1419" t="s">
        <v>3046</v>
      </c>
      <c r="AD33" s="1109">
        <f>Nachweis!$AN$43</f>
        <v>1</v>
      </c>
      <c r="AE33" s="1106">
        <f>Nachweis!$AN$43</f>
        <v>1</v>
      </c>
      <c r="AF33" s="1106">
        <f>Nachweis!$AN$43</f>
        <v>1</v>
      </c>
      <c r="AG33" s="1106">
        <f>Nachweis!$AN$43</f>
        <v>1</v>
      </c>
      <c r="AH33" s="1424">
        <f>Nachweis!$AN$43</f>
        <v>1</v>
      </c>
    </row>
    <row r="34" spans="1:36" ht="22.15" customHeight="1">
      <c r="A34" s="1518" t="s">
        <v>2828</v>
      </c>
      <c r="B34" s="2634" t="str">
        <f>Uebersetzung!D367</f>
        <v>Alle Geschirrspüler mind. Klasse C</v>
      </c>
      <c r="C34" s="2635"/>
      <c r="D34" s="199"/>
      <c r="E34" s="194"/>
      <c r="F34" s="1102"/>
      <c r="G34" s="1102"/>
      <c r="H34" s="1102"/>
      <c r="I34" s="1102"/>
      <c r="J34" s="184"/>
      <c r="K34" s="223"/>
      <c r="L34" s="298" t="s">
        <v>199</v>
      </c>
      <c r="N34" s="1141" t="s">
        <v>1827</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1868</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3046</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2829</v>
      </c>
      <c r="B35" s="2756" t="str">
        <f>Uebersetzung!D368</f>
        <v>Alle Kühlschränke mind. Klasse D</v>
      </c>
      <c r="C35" s="2757"/>
      <c r="D35" s="194"/>
      <c r="E35" s="194"/>
      <c r="F35" s="1102"/>
      <c r="G35" s="1102"/>
      <c r="H35" s="1102"/>
      <c r="I35" s="1102"/>
      <c r="J35" s="182"/>
      <c r="K35" s="186"/>
      <c r="N35" s="1142" t="s">
        <v>1828</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1867</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2496</v>
      </c>
      <c r="AD35" s="1109">
        <f>Nachweis!$AN$44</f>
        <v>1</v>
      </c>
      <c r="AE35" s="1106">
        <f>Nachweis!$AN$44</f>
        <v>1</v>
      </c>
      <c r="AF35" s="1106">
        <f>Nachweis!$AN$44</f>
        <v>1</v>
      </c>
      <c r="AG35" s="1106">
        <f>Nachweis!$AN$44</f>
        <v>1</v>
      </c>
      <c r="AH35" s="1424">
        <f>Nachweis!$AN$44</f>
        <v>1</v>
      </c>
    </row>
    <row r="36" spans="1:36" ht="22.15" customHeight="1">
      <c r="A36" s="1518" t="s">
        <v>2830</v>
      </c>
      <c r="B36" s="2634" t="str">
        <f>Uebersetzung!D369</f>
        <v>Alle Gefrierschränke mind. Klasse E</v>
      </c>
      <c r="C36" s="2635"/>
      <c r="D36" s="194"/>
      <c r="E36" s="194"/>
      <c r="F36" s="1102"/>
      <c r="G36" s="1102"/>
      <c r="H36" s="1102"/>
      <c r="I36" s="1102"/>
      <c r="J36" s="182"/>
      <c r="K36" s="187"/>
      <c r="N36" s="1142" t="s">
        <v>3956</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3079</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3229</v>
      </c>
      <c r="AC36" s="1423" t="s">
        <v>2496</v>
      </c>
      <c r="AD36" s="1417">
        <f>AD18*Nachweis!$AN$44</f>
        <v>0</v>
      </c>
      <c r="AE36" s="1412">
        <f>AE18*Nachweis!$AN$44</f>
        <v>0</v>
      </c>
      <c r="AF36" s="1412">
        <f>AF18*Nachweis!$AN$44</f>
        <v>0</v>
      </c>
      <c r="AG36" s="1412">
        <f>AG18*Nachweis!$AN$44</f>
        <v>0</v>
      </c>
      <c r="AH36" s="1416">
        <f>SUM(AD36:AG36)</f>
        <v>0</v>
      </c>
      <c r="AI36" s="5" t="s">
        <v>524</v>
      </c>
    </row>
    <row r="37" spans="1:36" ht="22.15" customHeight="1">
      <c r="A37" s="1518" t="s">
        <v>2831</v>
      </c>
      <c r="B37" s="2634" t="str">
        <f>Uebersetzung!D370</f>
        <v>Alle Waschmaschinen mind. Klasse C</v>
      </c>
      <c r="C37" s="2635"/>
      <c r="D37" s="207"/>
      <c r="E37" s="194"/>
      <c r="F37" s="1102"/>
      <c r="G37" s="1102"/>
      <c r="H37" s="1102"/>
      <c r="I37" s="1102"/>
      <c r="J37" s="182"/>
      <c r="K37" s="223"/>
      <c r="N37" s="1142" t="s">
        <v>3957</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1863</v>
      </c>
      <c r="V37" s="1198">
        <f>V34+V35+V36</f>
        <v>0</v>
      </c>
      <c r="W37" s="1198">
        <f>W34+W35+W36</f>
        <v>0</v>
      </c>
      <c r="X37" s="1198">
        <f>X34+X35+X36</f>
        <v>0</v>
      </c>
      <c r="Y37" s="1198">
        <f>Y34+Y35+Y36</f>
        <v>0</v>
      </c>
      <c r="Z37" s="1463">
        <f>IF(EBF=0,0,(V37*_EBF1+W37*_EBF2+X37*_EBF3+Y37*_EBF4)/(_EBF1+_EBF2+_EBF3+_EBF4))</f>
        <v>0</v>
      </c>
      <c r="AA37" s="5" t="s">
        <v>524</v>
      </c>
      <c r="AC37" s="1146" t="s">
        <v>2497</v>
      </c>
      <c r="AD37" s="1122">
        <f>AD36+AD34</f>
        <v>0</v>
      </c>
      <c r="AE37" s="1116">
        <f>AE36+AE34</f>
        <v>0</v>
      </c>
      <c r="AF37" s="1116">
        <f>AF36+AF34</f>
        <v>0</v>
      </c>
      <c r="AG37" s="1123">
        <f>AG36+AG34</f>
        <v>0</v>
      </c>
      <c r="AH37" s="1413">
        <f>SUM(AD37:AG37)</f>
        <v>0</v>
      </c>
      <c r="AI37" s="5" t="s">
        <v>524</v>
      </c>
    </row>
    <row r="38" spans="1:36" ht="22.15" customHeight="1">
      <c r="A38" s="1518" t="s">
        <v>2832</v>
      </c>
      <c r="B38" s="2634" t="str">
        <f>Uebersetzung!D371</f>
        <v>Alle Wäschetrockner Klasse A+++</v>
      </c>
      <c r="C38" s="2635"/>
      <c r="D38" s="194"/>
      <c r="E38" s="194"/>
      <c r="F38" s="1102"/>
      <c r="G38" s="1102"/>
      <c r="H38" s="1102"/>
      <c r="I38" s="1102"/>
      <c r="J38" s="182"/>
      <c r="K38" s="187"/>
      <c r="N38" s="1142" t="s">
        <v>3958</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1864</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3038</v>
      </c>
      <c r="AH38" s="1105">
        <f>IF(AH21&gt;0,AH25/AH21*AH37,0)</f>
        <v>0</v>
      </c>
    </row>
    <row r="39" spans="1:36" ht="22.15" customHeight="1">
      <c r="A39" s="1518" t="s">
        <v>1908</v>
      </c>
      <c r="B39" s="2634" t="str">
        <f>Uebersetzung!D372</f>
        <v>Alles Induktionskochherde</v>
      </c>
      <c r="C39" s="2635"/>
      <c r="D39" s="194"/>
      <c r="E39" s="194"/>
      <c r="F39" s="1102"/>
      <c r="G39" s="1102"/>
      <c r="H39" s="1102"/>
      <c r="I39" s="1102"/>
      <c r="J39" s="182"/>
      <c r="K39" s="187"/>
      <c r="N39" s="1142" t="s">
        <v>3959</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2833</v>
      </c>
      <c r="B40" s="2634" t="str">
        <f>Uebersetzung!D373</f>
        <v>Beleuchtung LED mind. C &amp; Regelung</v>
      </c>
      <c r="C40" s="2681"/>
      <c r="D40" s="410"/>
      <c r="E40" s="201"/>
      <c r="F40" s="1102"/>
      <c r="G40" s="1102"/>
      <c r="H40" s="1102"/>
      <c r="I40" s="1102"/>
      <c r="J40" s="411"/>
      <c r="K40" s="187"/>
      <c r="L40" s="155"/>
      <c r="N40" s="1142" t="s">
        <v>3960</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1865</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2834</v>
      </c>
      <c r="B41" s="2710" t="str">
        <f>Uebersetzung!D391</f>
        <v>Effiziente Geräte für Gebäudebetrieb</v>
      </c>
      <c r="C41" s="2711"/>
      <c r="D41" s="410"/>
      <c r="E41" s="201"/>
      <c r="F41" s="1102"/>
      <c r="G41" s="1102"/>
      <c r="H41" s="1102"/>
      <c r="I41" s="1102"/>
      <c r="J41" s="411"/>
      <c r="K41" s="187"/>
      <c r="L41" s="155"/>
      <c r="N41" s="1143" t="s">
        <v>2209</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3941</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3942</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1895</v>
      </c>
      <c r="B43" s="2677" t="str">
        <f>Uebersetzung!D374</f>
        <v>Übrige Nutzungen: Angaben zur Beleuchtung</v>
      </c>
      <c r="C43" s="2678"/>
      <c r="D43" s="2678"/>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1866</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1896</v>
      </c>
      <c r="B44" s="2718" t="str">
        <f>Uebersetzung!D412</f>
        <v>Beleuchtung: Umfassende Sanierung?</v>
      </c>
      <c r="C44" s="2719"/>
      <c r="D44" s="268"/>
      <c r="E44" s="268"/>
      <c r="F44" s="1662"/>
      <c r="G44" s="1662"/>
      <c r="H44" s="1662"/>
      <c r="I44" s="1662"/>
      <c r="J44" s="269"/>
      <c r="K44" s="859"/>
      <c r="L44" s="155"/>
      <c r="N44" s="1149" t="s">
        <v>1835</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2598</v>
      </c>
      <c r="V44" s="143"/>
      <c r="W44" s="143"/>
      <c r="X44" s="143"/>
      <c r="Y44" s="143"/>
      <c r="Z44" s="143"/>
      <c r="AA44" s="143"/>
    </row>
    <row r="45" spans="1:36" ht="22.15" customHeight="1">
      <c r="A45" s="1518" t="s">
        <v>1897</v>
      </c>
      <c r="B45" s="2634" t="str">
        <f>IF(S47,Uebersetzung!D528,"")</f>
        <v/>
      </c>
      <c r="C45" s="2635"/>
      <c r="D45" s="247"/>
      <c r="E45" s="185"/>
      <c r="F45" s="1004"/>
      <c r="G45" s="1004"/>
      <c r="H45" s="1004"/>
      <c r="I45" s="1004"/>
      <c r="J45" s="184"/>
      <c r="K45" s="857"/>
      <c r="L45" s="155"/>
      <c r="N45" s="298" t="s">
        <v>2587</v>
      </c>
      <c r="O45" s="593"/>
      <c r="P45" s="593"/>
      <c r="Q45" s="593"/>
      <c r="R45" s="593"/>
      <c r="S45" s="593"/>
      <c r="T45" s="593"/>
      <c r="U45" s="1117" t="s">
        <v>1815</v>
      </c>
      <c r="V45" s="1442">
        <v>1</v>
      </c>
      <c r="W45" s="1118">
        <v>2</v>
      </c>
      <c r="X45" s="1118">
        <v>3</v>
      </c>
      <c r="Y45" s="1443">
        <v>4</v>
      </c>
      <c r="Z45" s="1443" t="s">
        <v>1824</v>
      </c>
      <c r="AA45" s="143"/>
    </row>
    <row r="46" spans="1:36" ht="22.15" customHeight="1">
      <c r="A46" s="1518" t="s">
        <v>1898</v>
      </c>
      <c r="B46" s="2714" t="str">
        <f>Uebersetzung!D377</f>
        <v xml:space="preserve">Leuchten: Minergie-Modul/Lichtausbe. &gt;100 lm/W </v>
      </c>
      <c r="C46" s="2715"/>
      <c r="D46" s="268"/>
      <c r="E46" s="268"/>
      <c r="F46" s="1154"/>
      <c r="G46" s="1154"/>
      <c r="H46" s="1154"/>
      <c r="I46" s="1154"/>
      <c r="J46" s="269"/>
      <c r="K46" s="859"/>
      <c r="L46" s="155"/>
      <c r="N46" s="751" t="s">
        <v>1815</v>
      </c>
      <c r="O46" s="717">
        <v>1</v>
      </c>
      <c r="P46" s="781">
        <v>2</v>
      </c>
      <c r="Q46" s="781">
        <v>3</v>
      </c>
      <c r="R46" s="1108">
        <v>4</v>
      </c>
      <c r="S46" s="1108" t="s">
        <v>1824</v>
      </c>
      <c r="T46" s="593"/>
      <c r="U46" s="1111" t="s">
        <v>2599</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1902</v>
      </c>
      <c r="B47" s="2716" t="str">
        <f>Uebersetzung!D378</f>
        <v>Lichtsteuerung Präsenz-/ Tageslichtsensor</v>
      </c>
      <c r="C47" s="2717"/>
      <c r="D47" s="203"/>
      <c r="E47" s="194"/>
      <c r="F47" s="1425"/>
      <c r="G47" s="1425"/>
      <c r="H47" s="1425"/>
      <c r="I47" s="1425"/>
      <c r="J47" s="411"/>
      <c r="K47" s="991"/>
      <c r="L47" s="5"/>
      <c r="N47" s="1447" t="s">
        <v>2565</v>
      </c>
      <c r="O47" s="593" t="b">
        <f>IF(Kategorie1&gt;3,TRUE,FALSE)</f>
        <v>0</v>
      </c>
      <c r="P47" s="593" t="b">
        <f>IF(Kategorie2&gt;3,TRUE,FALSE)</f>
        <v>0</v>
      </c>
      <c r="Q47" s="593" t="b">
        <f>IF(Kategorie3&gt;3,TRUE,FALSE)</f>
        <v>0</v>
      </c>
      <c r="R47" s="593" t="b">
        <f>IF(Kategorie4&gt;3,TRUE,FALSE)</f>
        <v>0</v>
      </c>
      <c r="S47" s="1447" t="b">
        <f>OR(O47,P47,Q47,R47)</f>
        <v>0</v>
      </c>
      <c r="T47" s="593"/>
      <c r="U47" s="1477" t="s">
        <v>1835</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2835</v>
      </c>
      <c r="B48" s="1176" t="str">
        <f>Uebersetzung!D408</f>
        <v>Beleuchtung: Mittelwert SIA 387/4 (ungew.)</v>
      </c>
      <c r="C48" s="1177"/>
      <c r="D48" s="1199" t="s">
        <v>3305</v>
      </c>
      <c r="E48" s="194" t="s">
        <v>524</v>
      </c>
      <c r="F48" s="1670"/>
      <c r="G48" s="1670"/>
      <c r="H48" s="1670"/>
      <c r="I48" s="1670"/>
      <c r="J48" s="183"/>
      <c r="K48" s="1278">
        <f>S92</f>
        <v>0</v>
      </c>
      <c r="L48" s="5"/>
      <c r="M48" s="456"/>
      <c r="N48" s="1142" t="s">
        <v>2586</v>
      </c>
      <c r="O48" s="1397">
        <f>IF(Kategorie1&gt;3,Eingaben!O2,0)</f>
        <v>0</v>
      </c>
      <c r="P48" s="1444">
        <f>IF(Kategorie2&gt;3,Eingaben!P2,0)</f>
        <v>0</v>
      </c>
      <c r="Q48" s="1444">
        <f>IF(Kategorie3&gt;3,Eingaben!Q2,0)</f>
        <v>0</v>
      </c>
      <c r="R48" s="1444">
        <f>IF(Kategorie4&gt;3,Eingaben!R2,0)</f>
        <v>0</v>
      </c>
      <c r="S48" s="957">
        <f>SUM(O48:R48)</f>
        <v>0</v>
      </c>
      <c r="T48" s="5" t="s">
        <v>321</v>
      </c>
      <c r="U48" s="1477" t="s">
        <v>1848</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1900</v>
      </c>
      <c r="B49" s="1100" t="str">
        <f>Uebersetzung!D407</f>
        <v>Beleuchtung: Projektwert SIA 387/4 (ungew.)</v>
      </c>
      <c r="C49" s="1101"/>
      <c r="D49" s="1199" t="s">
        <v>3306</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1851</v>
      </c>
      <c r="V49" s="1197">
        <f>O59</f>
        <v>0</v>
      </c>
      <c r="W49" s="1197">
        <f>P59</f>
        <v>0</v>
      </c>
      <c r="X49" s="1197">
        <f>Q59</f>
        <v>0</v>
      </c>
      <c r="Y49" s="1197">
        <f>R59</f>
        <v>0</v>
      </c>
      <c r="Z49" s="1480">
        <f>S59</f>
        <v>0</v>
      </c>
      <c r="AJ49" s="1545"/>
    </row>
    <row r="50" spans="1:36" ht="22.15" customHeight="1">
      <c r="A50" s="1518" t="s">
        <v>1901</v>
      </c>
      <c r="B50" s="2626" t="str">
        <f>Uebersetzung!D409</f>
        <v>Anforderung Beleuchtung eingehalten?</v>
      </c>
      <c r="C50" s="2627"/>
      <c r="D50" s="2712" t="str">
        <f>IF(S63=FALSE,$R$12,IF(AND(K48&gt;0,K49&gt;0),IF(ROUND(K49,1)&gt;ROUND(K48,1),$R$12,$Q$12),""))</f>
        <v/>
      </c>
      <c r="E50" s="2713"/>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1853</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3141</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3121</v>
      </c>
      <c r="O53" s="1464" t="b">
        <f>IF(F45=Uebersetzung!$D$25,TRUE,FALSE)</f>
        <v>0</v>
      </c>
      <c r="P53" s="1465" t="b">
        <f>IF(G45=Uebersetzung!$D$25,TRUE,FALSE)</f>
        <v>0</v>
      </c>
      <c r="Q53" s="1465" t="b">
        <f>IF(H45=Uebersetzung!$D$25,TRUE,FALSE)</f>
        <v>0</v>
      </c>
      <c r="R53" s="1465" t="b">
        <f>IF(I45=Uebersetzung!$D$25,TRUE,FALSE)</f>
        <v>0</v>
      </c>
      <c r="S53" s="1466"/>
      <c r="T53" s="1287" t="s">
        <v>2563</v>
      </c>
    </row>
    <row r="54" spans="1:36" ht="13.9" hidden="1" customHeight="1">
      <c r="L54" s="5"/>
      <c r="M54" s="121"/>
      <c r="N54" s="1305" t="s">
        <v>2585</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2577</v>
      </c>
      <c r="O56" s="1459">
        <f>IF(O97=FALSE,O54*2,0)</f>
        <v>0</v>
      </c>
      <c r="P56" s="1140">
        <f>IF(P97=FALSE,P54*2,0)</f>
        <v>0</v>
      </c>
      <c r="Q56" s="1140">
        <f>IF(Q97=FALSE,Q54*2,0)</f>
        <v>0</v>
      </c>
      <c r="R56" s="1337">
        <f>IF(R97=FALSE,R54*2,0)</f>
        <v>0</v>
      </c>
      <c r="S56" s="1148">
        <f>IF(EBF&gt;0,(O54*O55+P54*P55+Q54*Q55+R54*R55)*2/(_EBF1+_EBF2+_EBF3+_EBF4),0)</f>
        <v>0</v>
      </c>
      <c r="T56" s="5" t="s">
        <v>524</v>
      </c>
      <c r="U56" s="298" t="s">
        <v>1932</v>
      </c>
      <c r="V56" s="27"/>
      <c r="W56" s="27"/>
      <c r="X56" s="27"/>
      <c r="Y56" s="27"/>
      <c r="Z56" s="27"/>
      <c r="AC56" s="298" t="s">
        <v>3001</v>
      </c>
    </row>
    <row r="57" spans="1:36" ht="20.100000000000001" hidden="1" customHeight="1">
      <c r="M57" s="121"/>
      <c r="N57" s="298" t="s">
        <v>1850</v>
      </c>
      <c r="U57" s="1117" t="s">
        <v>1815</v>
      </c>
      <c r="V57" s="1124">
        <v>1</v>
      </c>
      <c r="W57" s="1118">
        <v>2</v>
      </c>
      <c r="X57" s="1118">
        <v>3</v>
      </c>
      <c r="Y57" s="379">
        <v>4</v>
      </c>
      <c r="Z57" s="1261" t="s">
        <v>1834</v>
      </c>
      <c r="AC57" s="751"/>
      <c r="AD57" s="781" t="s">
        <v>3004</v>
      </c>
      <c r="AE57" s="781" t="s">
        <v>3005</v>
      </c>
      <c r="AF57" s="781" t="s">
        <v>3006</v>
      </c>
      <c r="AG57" s="781" t="s">
        <v>3007</v>
      </c>
      <c r="AH57" s="781" t="s">
        <v>3008</v>
      </c>
      <c r="AI57" s="1108" t="s">
        <v>490</v>
      </c>
    </row>
    <row r="58" spans="1:36" ht="24" hidden="1" customHeight="1">
      <c r="M58" s="5"/>
      <c r="N58" s="1159" t="s">
        <v>1850</v>
      </c>
      <c r="O58" s="1160"/>
      <c r="P58" s="1160"/>
      <c r="Q58" s="1161"/>
      <c r="R58" s="1161"/>
      <c r="S58" s="1162"/>
      <c r="U58" s="1305" t="s">
        <v>1921</v>
      </c>
      <c r="V58" s="811">
        <f>IF(_neu1,Eingaben!O2,0)</f>
        <v>0</v>
      </c>
      <c r="W58" s="811">
        <f>IF(_neu2,Eingaben!P2,0)</f>
        <v>0</v>
      </c>
      <c r="X58" s="811">
        <f>IF(_neu3,Eingaben!Q2,0)</f>
        <v>0</v>
      </c>
      <c r="Y58" s="811">
        <f>IF(_neu4,Eingaben!R2,0)</f>
        <v>0</v>
      </c>
      <c r="Z58" s="1307">
        <f>SUM(V58:Y58)</f>
        <v>0</v>
      </c>
      <c r="AA58" s="1287" t="s">
        <v>321</v>
      </c>
      <c r="AC58" s="1603" t="s">
        <v>3003</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1851</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1922</v>
      </c>
      <c r="V59" s="84">
        <f>Eingaben!O2-V67</f>
        <v>0</v>
      </c>
      <c r="W59" s="84">
        <f>Eingaben!P2-W67</f>
        <v>0</v>
      </c>
      <c r="X59" s="84">
        <f>Eingaben!Q2-X67</f>
        <v>0</v>
      </c>
      <c r="Y59" s="84">
        <f>Eingaben!R2-Y67</f>
        <v>0</v>
      </c>
      <c r="Z59" s="813">
        <f>SUM(V59:Y59)</f>
        <v>0</v>
      </c>
      <c r="AA59" s="1287" t="s">
        <v>321</v>
      </c>
      <c r="AC59" s="1087" t="s">
        <v>3009</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723" t="str">
        <f>Uebersetzung!D386</f>
        <v xml:space="preserve">Anforderung erfüllt?    </v>
      </c>
      <c r="J62" s="2723"/>
      <c r="K62" s="2724"/>
      <c r="N62" s="298" t="s">
        <v>3146</v>
      </c>
      <c r="U62" s="1263" t="s">
        <v>1935</v>
      </c>
      <c r="V62" s="890"/>
      <c r="W62" s="151"/>
      <c r="X62" s="151"/>
      <c r="Y62" s="603"/>
      <c r="Z62" s="1263" t="b">
        <f>IF(OR(minergiea,Z58&gt;2000,AND(EBF&gt;2000,I70=N12)),TRUE,FALSE)</f>
        <v>0</v>
      </c>
      <c r="AA62" s="27"/>
      <c r="AC62" s="890" t="s">
        <v>3010</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2601</v>
      </c>
      <c r="B63" s="2632" t="str">
        <f>IF(auswahl1&gt;0,INDEX(Standardwerte!$AF$5:$AF$13,2),"")</f>
        <v/>
      </c>
      <c r="C63" s="2633"/>
      <c r="D63" s="2762" t="str">
        <f>IF(auswahl1&gt;0,INDEX(Standardwerte!$BA$5:$BA$13,2),"")</f>
        <v/>
      </c>
      <c r="E63" s="2763"/>
      <c r="F63" s="2763"/>
      <c r="G63" s="2763"/>
      <c r="H63" s="2764"/>
      <c r="I63" s="1550"/>
      <c r="J63" s="2725">
        <f>IF(AND(B63&lt;&gt;"",I63=$N$13),$R$12,IF(OR(I63="",B63=""),,$Q$12))</f>
        <v>0</v>
      </c>
      <c r="K63" s="2726"/>
      <c r="M63" s="155"/>
      <c r="N63" s="1618" t="s">
        <v>3147</v>
      </c>
      <c r="O63" s="673" t="b">
        <f>IF(AND(O51=FALSE,Mieter1),FALSE,TRUE)</f>
        <v>1</v>
      </c>
      <c r="P63" s="673" t="b">
        <f>IF(AND(P51=FALSE,Mieter2),FALSE,TRUE)</f>
        <v>1</v>
      </c>
      <c r="Q63" s="673" t="b">
        <f>IF(AND(Q51=FALSE,Mieter3),FALSE,TRUE)</f>
        <v>1</v>
      </c>
      <c r="R63" s="673" t="b">
        <f>IF(AND(R51=FALSE,Mieter4),FALSE,TRUE)</f>
        <v>1</v>
      </c>
      <c r="S63" s="1618" t="b">
        <f>AND(O63,P63,Q63,R63)</f>
        <v>1</v>
      </c>
      <c r="U63" s="298" t="s">
        <v>1920</v>
      </c>
      <c r="AA63" s="27"/>
      <c r="AC63" s="1608" t="s">
        <v>3019</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634" t="str">
        <f>IF(auswahl2&gt;0,INDEX(Standardwerte!$AF$5:$AF$13,3),"")</f>
        <v/>
      </c>
      <c r="C64" s="2635"/>
      <c r="D64" s="2720" t="str">
        <f>IF(auswahl2&gt;0,INDEX(Standardwerte!$BA$5:$BA$13,3),"")</f>
        <v/>
      </c>
      <c r="E64" s="2721"/>
      <c r="F64" s="2721"/>
      <c r="G64" s="2722"/>
      <c r="H64" s="1551"/>
      <c r="I64" s="1302"/>
      <c r="J64" s="1513"/>
      <c r="K64" s="1548" t="str">
        <f>"1.6 m3/hm2"</f>
        <v>1.6 m3/hm2</v>
      </c>
      <c r="M64" s="155"/>
      <c r="N64" s="298" t="s">
        <v>1854</v>
      </c>
      <c r="AC64" s="1142"/>
      <c r="AD64" s="143"/>
      <c r="AE64" s="143"/>
      <c r="AF64" s="143"/>
      <c r="AG64" s="143"/>
      <c r="AH64" s="143"/>
      <c r="AI64" s="1142"/>
    </row>
    <row r="65" spans="1:37" ht="22.15" customHeight="1">
      <c r="A65" s="1518" t="s">
        <v>2602</v>
      </c>
      <c r="B65" s="2634" t="str">
        <f>IF(auswahl3&gt;0,INDEX(Standardwerte!$AF$5:$AF$13,4),"")</f>
        <v/>
      </c>
      <c r="C65" s="2635"/>
      <c r="D65" s="2720" t="str">
        <f>IF(auswahl3&gt;0,INDEX(Standardwerte!$BA$5:$BA$13,4),"")</f>
        <v/>
      </c>
      <c r="E65" s="2721"/>
      <c r="F65" s="2721"/>
      <c r="G65" s="2721"/>
      <c r="H65" s="2722"/>
      <c r="I65" s="1302"/>
      <c r="J65" s="2760">
        <f>IF(AND(B65&lt;&gt;"",I65=$N$13),$R$12,IF(OR(I65="",B65=""),,$Q$12))</f>
        <v>0</v>
      </c>
      <c r="K65" s="2761"/>
      <c r="M65" s="155"/>
      <c r="N65" s="1467" t="s">
        <v>2588</v>
      </c>
      <c r="U65" s="1117" t="s">
        <v>1815</v>
      </c>
      <c r="V65" s="717">
        <v>1</v>
      </c>
      <c r="W65" s="781">
        <v>2</v>
      </c>
      <c r="X65" s="781">
        <v>3</v>
      </c>
      <c r="Y65" s="1108">
        <v>4</v>
      </c>
      <c r="Z65" s="1261" t="s">
        <v>1834</v>
      </c>
      <c r="AC65" s="1142" t="s">
        <v>3020</v>
      </c>
      <c r="AD65" s="143"/>
      <c r="AE65" s="143"/>
      <c r="AF65" s="143"/>
      <c r="AG65" s="143"/>
      <c r="AH65" s="143"/>
      <c r="AI65" s="1480">
        <f>IF(EBF&gt;0,E117*G117/EBF,0)</f>
        <v>0</v>
      </c>
      <c r="AJ65" s="5" t="s">
        <v>524</v>
      </c>
    </row>
    <row r="66" spans="1:37" ht="18" hidden="1" customHeight="1">
      <c r="A66" s="1518" t="s">
        <v>2836</v>
      </c>
      <c r="B66" s="2634" t="str">
        <f>IF(auswahl4&gt;0,INDEX(Standardwerte!$AF$5:$AF$13,5),"")</f>
        <v/>
      </c>
      <c r="C66" s="2635"/>
      <c r="D66" s="2720" t="str">
        <f>IF(auswahl4&gt;0,INDEX(Standardwerte!$BA$5:$BA$13,5),"")</f>
        <v/>
      </c>
      <c r="E66" s="2721"/>
      <c r="F66" s="2721"/>
      <c r="G66" s="2722"/>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2701</v>
      </c>
      <c r="B67" s="2634" t="str">
        <f>IF(auswahl5&gt;0,INDEX(Standardwerte!$AF$5:$AF$13,6),"")</f>
        <v/>
      </c>
      <c r="C67" s="2635"/>
      <c r="D67" s="2720" t="str">
        <f>IF(auswahl5&gt;0,INDEX(Standardwerte!$BA$5:$BA$13,6),"")</f>
        <v/>
      </c>
      <c r="E67" s="2721"/>
      <c r="F67" s="2721"/>
      <c r="G67" s="2721"/>
      <c r="H67" s="2722"/>
      <c r="I67" s="1302"/>
      <c r="J67" s="2758"/>
      <c r="K67" s="2759"/>
      <c r="M67" s="155" t="b">
        <v>0</v>
      </c>
      <c r="N67" s="1159" t="s">
        <v>1852</v>
      </c>
      <c r="O67" s="1167"/>
      <c r="P67" s="1167"/>
      <c r="Q67" s="1168"/>
      <c r="R67" s="1168"/>
      <c r="S67" s="1162"/>
      <c r="U67" s="1306" t="s">
        <v>1921</v>
      </c>
      <c r="V67" s="841">
        <f>IF(_neu1,Eingaben!O2,0)</f>
        <v>0</v>
      </c>
      <c r="W67" s="842">
        <f>IF(_neu2,Eingaben!P2,0)</f>
        <v>0</v>
      </c>
      <c r="X67" s="842">
        <f>IF(_neu3,Eingaben!Q2,0)</f>
        <v>0</v>
      </c>
      <c r="Y67" s="1445">
        <f>IF(_neu4,Eingaben!R2,0)</f>
        <v>0</v>
      </c>
      <c r="Z67" s="813">
        <f>SUM(V67:Y67)</f>
        <v>0</v>
      </c>
      <c r="AA67" s="1287" t="s">
        <v>321</v>
      </c>
      <c r="AC67" s="1142" t="s">
        <v>3018</v>
      </c>
      <c r="AD67" s="143"/>
      <c r="AE67" s="143"/>
      <c r="AF67" s="143"/>
      <c r="AG67" s="143"/>
      <c r="AH67" s="143"/>
      <c r="AI67" s="1607">
        <f>IF(AI63&gt;0,AI65/AI63,0)</f>
        <v>0</v>
      </c>
    </row>
    <row r="68" spans="1:37" ht="22.15" customHeight="1">
      <c r="A68" s="1518" t="s">
        <v>2837</v>
      </c>
      <c r="B68" s="2634" t="str">
        <f>IF(auswahl6&gt;0,INDEX(Standardwerte!$AF$5:$AF$13,7),"")</f>
        <v/>
      </c>
      <c r="C68" s="2635"/>
      <c r="D68" s="2720" t="str">
        <f>IF(auswahl6&gt;0,INDEX(Standardwerte!$BA$5:$BA$13,7),"")</f>
        <v/>
      </c>
      <c r="E68" s="2721"/>
      <c r="F68" s="2721"/>
      <c r="G68" s="2721"/>
      <c r="H68" s="2722"/>
      <c r="I68" s="1313"/>
      <c r="J68" s="2758"/>
      <c r="K68" s="2759"/>
      <c r="M68" s="155" t="b">
        <v>1</v>
      </c>
      <c r="N68" s="1159" t="s">
        <v>1853</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1922</v>
      </c>
      <c r="V68" s="1452">
        <f>Eingaben!O2-V67</f>
        <v>0</v>
      </c>
      <c r="W68" s="1303">
        <f>Eingaben!P2-W67</f>
        <v>0</v>
      </c>
      <c r="X68" s="1303">
        <f>Eingaben!Q2-X67</f>
        <v>0</v>
      </c>
      <c r="Y68" s="1453">
        <f>Eingaben!R2-Y67</f>
        <v>0</v>
      </c>
      <c r="Z68" s="813">
        <f>SUM(V68:Y68)</f>
        <v>0</v>
      </c>
      <c r="AA68" s="1287" t="s">
        <v>321</v>
      </c>
      <c r="AC68" s="1143" t="s">
        <v>3021</v>
      </c>
      <c r="AD68" s="151"/>
      <c r="AE68" s="151"/>
      <c r="AF68" s="151"/>
      <c r="AG68" s="151"/>
      <c r="AH68" s="151"/>
      <c r="AI68" s="962">
        <f>IF(O109&gt;0,O109,0)</f>
        <v>0</v>
      </c>
      <c r="AJ68" s="5" t="s">
        <v>672</v>
      </c>
    </row>
    <row r="69" spans="1:37" ht="22.15" customHeight="1">
      <c r="A69" s="1518" t="s">
        <v>2840</v>
      </c>
      <c r="B69" s="2634" t="str">
        <f>IF(auswahl7&gt;0,INDEX(Standardwerte!$AF$5:$AF$13,8),"")</f>
        <v/>
      </c>
      <c r="C69" s="2635"/>
      <c r="D69" s="2768" t="str">
        <f>IF(auswahl7&gt;0,INDEX(Standardwerte!$BA$5:$BA$13,8),"")</f>
        <v/>
      </c>
      <c r="E69" s="2769"/>
      <c r="F69" s="2769"/>
      <c r="G69" s="2769"/>
      <c r="H69" s="2770"/>
      <c r="I69" s="1302"/>
      <c r="J69" s="2760">
        <f>IF(AND(B69&lt;&gt;"",I69=$N$13),$R$12,IF(OR(I69="",B69=""),,$Q$12))</f>
        <v>0</v>
      </c>
      <c r="K69" s="2761"/>
      <c r="M69" s="155"/>
      <c r="U69" s="1142"/>
      <c r="V69" s="1087"/>
      <c r="W69" s="143"/>
      <c r="X69" s="143"/>
      <c r="Y69" s="1120"/>
      <c r="Z69" s="1142"/>
      <c r="AC69" s="1603" t="s">
        <v>3035</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2838</v>
      </c>
      <c r="B70" s="2634" t="str">
        <f>IF(auswahl8&gt;0,INDEX(Standardwerte!$AF$5:$AF$14,9),"")</f>
        <v/>
      </c>
      <c r="C70" s="2635"/>
      <c r="D70" s="2720" t="str">
        <f>IF(auswahl8&gt;0,INDEX(Standardwerte!$BA$5:$BA$14,9),"")</f>
        <v/>
      </c>
      <c r="E70" s="2721"/>
      <c r="F70" s="2721"/>
      <c r="G70" s="2721"/>
      <c r="H70" s="2722"/>
      <c r="I70" s="1302"/>
      <c r="J70" s="2758"/>
      <c r="K70" s="2759"/>
      <c r="M70" s="155"/>
      <c r="N70" s="1159" t="s">
        <v>1854</v>
      </c>
      <c r="O70" s="1160"/>
      <c r="P70" s="1160"/>
      <c r="Q70" s="1161"/>
      <c r="R70" s="1161"/>
      <c r="S70" s="1162"/>
      <c r="U70" s="1306" t="s">
        <v>1924</v>
      </c>
      <c r="V70" s="1451"/>
      <c r="W70" s="1449"/>
      <c r="X70" s="1449"/>
      <c r="Y70" s="1455"/>
      <c r="Z70" s="1308">
        <f>Nachweis!G59</f>
        <v>0</v>
      </c>
      <c r="AA70" s="5" t="s">
        <v>524</v>
      </c>
      <c r="AC70" s="1087" t="s">
        <v>3036</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2839</v>
      </c>
      <c r="B71" s="2634" t="str">
        <f>IF(auswahl9&gt;0,INDEX(Standardwerte!$AF$5:$AF$14,10),"")</f>
        <v/>
      </c>
      <c r="C71" s="2635"/>
      <c r="D71" s="2765" t="str">
        <f>IF(auswahl9&gt;0,INDEX(Standardwerte!$BA$5:$BA$14,10),"")</f>
        <v/>
      </c>
      <c r="E71" s="2766"/>
      <c r="F71" s="2766"/>
      <c r="G71" s="2766"/>
      <c r="H71" s="2767"/>
      <c r="I71" s="1720"/>
      <c r="J71" s="2760">
        <f>IF(AND(B71&lt;&gt;"",I71=$N$13),$R$12,IF(OR(I71="",B71=""),,$Q$12))</f>
        <v>0</v>
      </c>
      <c r="K71" s="2761"/>
      <c r="M71" s="155" t="b">
        <v>0</v>
      </c>
      <c r="N71" s="1169" t="s">
        <v>1856</v>
      </c>
      <c r="O71" s="27"/>
      <c r="P71" s="27"/>
      <c r="Q71" s="27"/>
      <c r="R71" s="27"/>
      <c r="S71" s="89">
        <f>IF(OR(EBF=0,AND(bern,EBF_neu=0)),0,G117*E117/IF(bern,EBF_neu,EBF)-Nachweis!Q28)*2*I117</f>
        <v>0</v>
      </c>
      <c r="T71" s="5" t="s">
        <v>524</v>
      </c>
      <c r="U71" s="1142" t="s">
        <v>99</v>
      </c>
      <c r="V71" s="1627" t="s">
        <v>3093</v>
      </c>
      <c r="W71" s="1640">
        <f>IF(EBF&gt;0,G117*E117/EBF,0)*2*I117</f>
        <v>0</v>
      </c>
      <c r="X71" s="1641" t="s">
        <v>3094</v>
      </c>
      <c r="Y71" s="1640">
        <f>IF(EBF&gt;0,G117*E117/EBF,0)*2*(1-I117)*0.4</f>
        <v>0</v>
      </c>
      <c r="Z71" s="1480">
        <f>W71+Y71</f>
        <v>0</v>
      </c>
      <c r="AA71" s="5" t="s">
        <v>524</v>
      </c>
      <c r="AC71" s="890" t="s">
        <v>3037</v>
      </c>
      <c r="AD71" s="151"/>
      <c r="AE71" s="151"/>
      <c r="AF71" s="151"/>
      <c r="AG71" s="151"/>
      <c r="AH71" s="1126"/>
      <c r="AI71" s="1620">
        <f>IF(OR(J117="",J117=0),IF(AI75,ROUND((AI70*Anteil_WP+AI69*(1-Anteil_WP))*20,0)/20,0.2),MIN(J117,1))</f>
        <v>0.2</v>
      </c>
      <c r="AK71" s="2411"/>
    </row>
    <row r="72" spans="1:37" s="27" customFormat="1" ht="22.15" customHeight="1">
      <c r="A72" s="1518" t="s">
        <v>3368</v>
      </c>
      <c r="B72" s="2626" t="str">
        <f>IF(auswahl10&gt;0,INDEX(Standardwerte!$AF$5:$AF$15,11),"")</f>
        <v/>
      </c>
      <c r="C72" s="2627"/>
      <c r="D72" s="2705" t="str">
        <f>IF(auswahl10&gt;0,INDEX(Standardwerte!$BA$5:$BA$15,11),"")</f>
        <v/>
      </c>
      <c r="E72" s="2706"/>
      <c r="F72" s="2706"/>
      <c r="G72" s="2706"/>
      <c r="H72" s="2707"/>
      <c r="I72" s="1711"/>
      <c r="J72" s="2708">
        <f>IF(AND(B72&lt;&gt;"",I72=$N$13),$R$12,IF(OR(I72="",B72=""),,$Q$12))</f>
        <v>0</v>
      </c>
      <c r="K72" s="2709"/>
      <c r="L72" s="300"/>
      <c r="M72" s="300"/>
      <c r="N72" s="555" t="s">
        <v>1857</v>
      </c>
      <c r="S72" s="1170">
        <f>IF(OR(EBF=0,AND(bern,EBF_neu=0)),0,G117*E117/IF(bern,EBF_neu,EBF)-Nachweis!Q28)*2*(1-I117)*0.4</f>
        <v>0</v>
      </c>
      <c r="T72" s="5" t="s">
        <v>524</v>
      </c>
      <c r="U72" s="1306" t="s">
        <v>3095</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46034.719198842591</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1855</v>
      </c>
      <c r="O73" s="1165"/>
      <c r="P73" s="1163"/>
      <c r="Q73" s="1163"/>
      <c r="R73" s="1164"/>
      <c r="S73" s="1166">
        <f>SUM(S71:S72)</f>
        <v>0</v>
      </c>
      <c r="T73" s="5" t="s">
        <v>524</v>
      </c>
      <c r="U73" s="1309" t="s">
        <v>1923</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2589</v>
      </c>
      <c r="O74" s="5"/>
      <c r="P74" s="5"/>
      <c r="Q74" s="5"/>
      <c r="R74" s="5"/>
      <c r="S74" s="5"/>
      <c r="T74" s="5"/>
      <c r="V74" s="1449"/>
      <c r="W74" s="1449"/>
      <c r="X74" s="1449"/>
      <c r="Y74" s="1449"/>
      <c r="AC74" s="120" t="s">
        <v>3071</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1860</v>
      </c>
      <c r="O75" s="1172"/>
      <c r="P75" s="1171"/>
      <c r="Q75" s="1171"/>
      <c r="R75" s="1173"/>
      <c r="S75" s="1175">
        <f>S15+S18+S44+S59+S68-S73+S56+S94+S100+Nachweis!N44</f>
        <v>0</v>
      </c>
      <c r="T75" s="5" t="s">
        <v>524</v>
      </c>
      <c r="U75" s="298" t="s">
        <v>3108</v>
      </c>
      <c r="V75" s="593"/>
      <c r="W75" s="593"/>
      <c r="X75" s="593"/>
      <c r="Y75" s="593"/>
      <c r="Z75" s="593"/>
      <c r="AC75" s="142" t="s">
        <v>3072</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2576</v>
      </c>
      <c r="O76" s="593"/>
      <c r="P76" s="593"/>
      <c r="Q76" s="593"/>
      <c r="R76" s="593"/>
      <c r="S76" s="593"/>
      <c r="T76" s="593"/>
      <c r="U76" s="751" t="s">
        <v>1815</v>
      </c>
      <c r="V76" s="1653">
        <v>1</v>
      </c>
      <c r="W76" s="1118">
        <v>2</v>
      </c>
      <c r="X76" s="1118">
        <v>3</v>
      </c>
      <c r="Y76" s="1652">
        <v>4</v>
      </c>
      <c r="Z76" s="1253" t="s">
        <v>1834</v>
      </c>
    </row>
    <row r="77" spans="1:37" s="27" customFormat="1" ht="18" customHeight="1">
      <c r="A77" s="1522"/>
      <c r="L77" s="300"/>
      <c r="M77" s="300"/>
      <c r="N77" s="751" t="s">
        <v>1815</v>
      </c>
      <c r="O77" s="717">
        <v>1</v>
      </c>
      <c r="P77" s="781">
        <v>2</v>
      </c>
      <c r="Q77" s="781">
        <v>3</v>
      </c>
      <c r="R77" s="1108">
        <v>4</v>
      </c>
      <c r="S77" s="1108" t="s">
        <v>2568</v>
      </c>
      <c r="T77" s="593"/>
      <c r="U77" s="127" t="s">
        <v>5099</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2565</v>
      </c>
      <c r="O78" s="1454" t="b">
        <f>IF(Kategorie1&gt;3,TRUE,FALSE)</f>
        <v>0</v>
      </c>
      <c r="P78" s="1454" t="b">
        <f>IF(Kategorie2&gt;3,TRUE,FALSE)</f>
        <v>0</v>
      </c>
      <c r="Q78" s="1454" t="b">
        <f>IF(Kategorie3&gt;3,TRUE,FALSE)</f>
        <v>0</v>
      </c>
      <c r="R78" s="1454" t="b">
        <f>IF(Kategorie4&gt;3,TRUE,FALSE)</f>
        <v>0</v>
      </c>
      <c r="S78" s="1658"/>
      <c r="T78" s="593"/>
      <c r="U78" s="1603" t="s">
        <v>1830</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2567</v>
      </c>
      <c r="O79" s="1449" t="b">
        <f>AND(_neu1,O78)</f>
        <v>0</v>
      </c>
      <c r="P79" s="1449" t="b">
        <f>AND(_neu2,P78)</f>
        <v>0</v>
      </c>
      <c r="Q79" s="1449" t="b">
        <f>AND(_neu3,Q78)</f>
        <v>0</v>
      </c>
      <c r="R79" s="1449" t="b">
        <f>AND(_neu4,R78)</f>
        <v>0</v>
      </c>
      <c r="S79" s="1450"/>
      <c r="U79" s="1651" t="s">
        <v>3109</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2572</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3296</v>
      </c>
      <c r="V80" s="1666">
        <f>IF(V79&gt;0,V78/V79,V78)</f>
        <v>0</v>
      </c>
      <c r="W80" s="1667">
        <f>IF(W79&gt;0,W78/W79,W78)</f>
        <v>0</v>
      </c>
      <c r="X80" s="1667">
        <f>IF(X79&gt;0,X78/X79,X78)</f>
        <v>0</v>
      </c>
      <c r="Y80" s="1654">
        <f>IF(Y79&gt;0,Y78/Y79,Y78)</f>
        <v>0</v>
      </c>
      <c r="Z80" s="1705">
        <f>IF(Z79&gt;0,Z78/Z79,0)</f>
        <v>0</v>
      </c>
      <c r="AA80" s="1287" t="s">
        <v>3110</v>
      </c>
    </row>
    <row r="81" spans="1:27" s="593" customFormat="1" ht="18" customHeight="1">
      <c r="A81" s="1523"/>
      <c r="B81" s="599"/>
      <c r="C81" s="599"/>
      <c r="D81" s="599"/>
      <c r="E81" s="599"/>
      <c r="F81" s="599"/>
      <c r="G81" s="599"/>
      <c r="H81" s="599"/>
      <c r="I81" s="599"/>
      <c r="J81" s="599"/>
      <c r="K81" s="599"/>
      <c r="L81" s="600"/>
      <c r="M81" s="600"/>
      <c r="N81" s="1450" t="s">
        <v>2566</v>
      </c>
      <c r="O81" s="593" t="b">
        <f>AND($S$80&gt;250,O79)</f>
        <v>0</v>
      </c>
      <c r="P81" s="593" t="b">
        <f>AND($S$80&gt;250,P79)</f>
        <v>0</v>
      </c>
      <c r="Q81" s="593" t="b">
        <f>AND($S$80&gt;250,Q79)</f>
        <v>0</v>
      </c>
      <c r="R81" s="593" t="b">
        <f>AND($S$80&gt;250,R79)</f>
        <v>0</v>
      </c>
      <c r="S81" s="1450"/>
      <c r="T81" s="1287" t="s">
        <v>2578</v>
      </c>
      <c r="U81" s="1655" t="s">
        <v>3108</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3136</v>
      </c>
      <c r="O82" s="1457" t="b">
        <f>AND(O81,Mieter1=FALSE)</f>
        <v>0</v>
      </c>
      <c r="P82" s="1457" t="b">
        <f>AND(P81,Mieter2=FALSE)</f>
        <v>0</v>
      </c>
      <c r="Q82" s="1457" t="b">
        <f>AND(Q81,Mieter3=FALSE)</f>
        <v>0</v>
      </c>
      <c r="R82" s="1457" t="b">
        <f>AND(R81,Mieter4=FALSE)</f>
        <v>0</v>
      </c>
      <c r="S82" s="1456" t="b">
        <f>OR(O82,P82,Q82,R82)</f>
        <v>0</v>
      </c>
      <c r="U82" s="1657" t="s">
        <v>3112</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2571</v>
      </c>
      <c r="O83" s="1449" t="b">
        <f>AND(Kategorie1&gt;3,_neu1=FALSE)</f>
        <v>0</v>
      </c>
      <c r="P83" s="1449" t="b">
        <f>AND(Kategorie2&gt;3,_neu2=FALSE)</f>
        <v>0</v>
      </c>
      <c r="Q83" s="1449" t="b">
        <f>AND(Kategorie3&gt;3,_neu3=FALSE)</f>
        <v>0</v>
      </c>
      <c r="R83" s="1449" t="b">
        <f>AND(Kategorie4&gt;3,_neu4=FALSE)</f>
        <v>0</v>
      </c>
      <c r="S83" s="1450"/>
      <c r="U83" s="1306" t="s">
        <v>3113</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3133</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3246</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3237</v>
      </c>
    </row>
    <row r="85" spans="1:27" s="593" customFormat="1" ht="18" customHeight="1">
      <c r="A85" s="1523"/>
      <c r="F85" s="599"/>
      <c r="G85" s="599"/>
      <c r="H85" s="599"/>
      <c r="I85" s="599"/>
      <c r="L85" s="600"/>
      <c r="M85" s="600"/>
      <c r="N85" s="1450" t="s">
        <v>3134</v>
      </c>
      <c r="O85" s="593" t="b">
        <f>AND($S$84&gt;250,O83)</f>
        <v>0</v>
      </c>
      <c r="P85" s="593" t="b">
        <f>AND($S$84&gt;250,P83)</f>
        <v>0</v>
      </c>
      <c r="Q85" s="593" t="b">
        <f>AND($S$84&gt;250,Q83)</f>
        <v>0</v>
      </c>
      <c r="R85" s="593" t="b">
        <f>AND($S$84&gt;250,R83)</f>
        <v>0</v>
      </c>
      <c r="S85" s="1450" t="b">
        <f>OR(O85,P85,Q85,R85)</f>
        <v>0</v>
      </c>
      <c r="U85" s="1415" t="s">
        <v>3421</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2573</v>
      </c>
      <c r="O86" s="1457" t="b">
        <f>AND(O83=TRUE,F44=$N$12)</f>
        <v>0</v>
      </c>
      <c r="P86" s="1457" t="b">
        <f>AND(P83=TRUE,G44=$N$12)</f>
        <v>0</v>
      </c>
      <c r="Q86" s="1457" t="b">
        <f>AND(Q83=TRUE,H44=$N$12)</f>
        <v>0</v>
      </c>
      <c r="R86" s="1457" t="b">
        <f>AND(R83=TRUE,I44=$N$12)</f>
        <v>0</v>
      </c>
      <c r="S86" s="1456" t="b">
        <f>OR(O86,P86,Q86,R86)</f>
        <v>0</v>
      </c>
      <c r="T86" s="1287" t="s">
        <v>2579</v>
      </c>
      <c r="U86" s="1737" t="s">
        <v>3114</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3136</v>
      </c>
      <c r="O87" s="593" t="b">
        <f>AND(O86,O97)</f>
        <v>0</v>
      </c>
      <c r="P87" s="593" t="b">
        <f>AND(P86,P97)</f>
        <v>0</v>
      </c>
      <c r="Q87" s="593" t="b">
        <f>AND(Q86,Q97)</f>
        <v>0</v>
      </c>
      <c r="R87" s="593" t="b">
        <f>AND(R86,R97)</f>
        <v>0</v>
      </c>
      <c r="S87" s="1450"/>
      <c r="U87" s="1736" t="s">
        <v>3423</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3135</v>
      </c>
      <c r="O88" s="593" t="b">
        <f>OR(O82,O86)</f>
        <v>0</v>
      </c>
      <c r="P88" s="593" t="b">
        <f>OR(P82,P86)</f>
        <v>0</v>
      </c>
      <c r="Q88" s="593" t="b">
        <f>OR(Q82,Q86)</f>
        <v>0</v>
      </c>
      <c r="R88" s="593" t="b">
        <f>OR(R82,R86)</f>
        <v>0</v>
      </c>
      <c r="S88" s="1450" t="b">
        <f>OR(O88,P88,Q88,R88)</f>
        <v>0</v>
      </c>
      <c r="U88" s="1738" t="s">
        <v>3424</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2569</v>
      </c>
      <c r="O89" s="1449" t="b">
        <f>AND(O78,O82=FALSE,O86=FALSE,O53=TRUE)</f>
        <v>0</v>
      </c>
      <c r="P89" s="1449" t="b">
        <f>AND(P78,P82=FALSE,P86=FALSE,P53=TRUE)</f>
        <v>0</v>
      </c>
      <c r="Q89" s="1449" t="b">
        <f>AND(Q78,Q82=FALSE,Q86=FALSE,Q53=TRUE)</f>
        <v>0</v>
      </c>
      <c r="R89" s="1449" t="b">
        <f>AND(R78,R82=FALSE,R86=FALSE,R53=TRUE)</f>
        <v>0</v>
      </c>
      <c r="S89" s="1450"/>
      <c r="U89" s="1415" t="s">
        <v>3246</v>
      </c>
      <c r="V89" s="1656">
        <f>V84-V87-V82</f>
        <v>0</v>
      </c>
      <c r="W89" s="1656">
        <f>W84-W87-W82</f>
        <v>0</v>
      </c>
      <c r="X89" s="1656">
        <f>X84-X87-X82</f>
        <v>0</v>
      </c>
      <c r="Y89" s="1656">
        <f>Y84-Y87-Y82</f>
        <v>0</v>
      </c>
      <c r="Z89" s="1450"/>
      <c r="AA89" s="593" t="s">
        <v>3422</v>
      </c>
    </row>
    <row r="90" spans="1:27" s="593" customFormat="1" ht="18" customHeight="1">
      <c r="A90" s="1523"/>
      <c r="L90" s="600"/>
      <c r="M90" s="600"/>
      <c r="N90" s="1456" t="s">
        <v>2570</v>
      </c>
      <c r="O90" s="1457" t="b">
        <f>AND(O89,F48&gt;0,F49&gt;0)</f>
        <v>0</v>
      </c>
      <c r="P90" s="1457" t="b">
        <f>AND(P89,G48&gt;0,G49&gt;0)</f>
        <v>0</v>
      </c>
      <c r="Q90" s="1457" t="b">
        <f>AND(Q89,H48&gt;0,H49&gt;0)</f>
        <v>0</v>
      </c>
      <c r="R90" s="1457" t="b">
        <f>AND(R89,I48&gt;0,I49&gt;0)</f>
        <v>0</v>
      </c>
      <c r="S90" s="1456" t="b">
        <f>OR(O90,P90,Q90,R90)</f>
        <v>0</v>
      </c>
      <c r="T90" s="1287" t="s">
        <v>2580</v>
      </c>
      <c r="U90" s="1421" t="s">
        <v>3421</v>
      </c>
      <c r="V90" s="1706">
        <f>V85-V88-V82</f>
        <v>0</v>
      </c>
      <c r="W90" s="1706">
        <f>W85-W88-W82</f>
        <v>0</v>
      </c>
      <c r="X90" s="1706">
        <f>X85-X88-X82</f>
        <v>0</v>
      </c>
      <c r="Y90" s="1706">
        <f>Y85-Y88-Y82</f>
        <v>0</v>
      </c>
      <c r="Z90" s="1448"/>
      <c r="AA90" s="593" t="s">
        <v>3422</v>
      </c>
    </row>
    <row r="91" spans="1:27" s="593" customFormat="1" ht="18" customHeight="1">
      <c r="A91" s="1523"/>
      <c r="L91" s="600"/>
      <c r="M91" s="600"/>
      <c r="N91" s="1450" t="s">
        <v>2574</v>
      </c>
      <c r="O91" s="1303">
        <f>IF(OR(O82,O86,O90),Eingaben!O2,0)</f>
        <v>0</v>
      </c>
      <c r="P91" s="1303">
        <f>IF(OR(P82,P86,P90),Eingaben!P2,0)</f>
        <v>0</v>
      </c>
      <c r="Q91" s="1303">
        <f>IF(OR(Q82,Q86,Q90),Eingaben!Q2,0)</f>
        <v>0</v>
      </c>
      <c r="R91" s="1303">
        <f>IF(OR(R82,R86,R90),Eingaben!R2,0)</f>
        <v>0</v>
      </c>
      <c r="S91" s="813">
        <f>SUM(O91:R91)</f>
        <v>0</v>
      </c>
      <c r="T91" s="593" t="s">
        <v>321</v>
      </c>
      <c r="U91" s="1415" t="s">
        <v>5190</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2583</v>
      </c>
      <c r="O92" s="1303">
        <f>IF(O91&gt;0,F48,0)</f>
        <v>0</v>
      </c>
      <c r="P92" s="1303">
        <f>IF(P91&gt;0,G48,0)</f>
        <v>0</v>
      </c>
      <c r="Q92" s="1303">
        <f>IF(Q91&gt;0,H48,0)</f>
        <v>0</v>
      </c>
      <c r="R92" s="1303">
        <f>IF(R91&gt;0,I48,0)</f>
        <v>0</v>
      </c>
      <c r="S92" s="813">
        <f>IF(S91&gt;0,(O91*O92+P91*P92+Q91*Q92+R91*R92)/S91,0)</f>
        <v>0</v>
      </c>
      <c r="T92" s="593" t="s">
        <v>524</v>
      </c>
      <c r="U92" s="1421" t="s">
        <v>5191</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2584</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1846</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2582</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3924</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3137</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2581</v>
      </c>
    </row>
    <row r="98" spans="1:20" s="593" customFormat="1" ht="18" customHeight="1">
      <c r="A98" s="1523"/>
      <c r="F98" s="599"/>
      <c r="G98" s="599"/>
      <c r="H98" s="599"/>
      <c r="I98" s="599"/>
      <c r="L98" s="600"/>
      <c r="M98" s="600"/>
      <c r="N98" s="1450" t="s">
        <v>2575</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1847</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1848</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2590</v>
      </c>
    </row>
    <row r="102" spans="1:20" s="593" customFormat="1" ht="18" customHeight="1">
      <c r="A102" s="1523"/>
      <c r="F102" s="599"/>
      <c r="G102" s="599"/>
      <c r="H102" s="599"/>
      <c r="I102" s="599"/>
      <c r="L102" s="600"/>
      <c r="M102" s="600"/>
      <c r="N102" s="1117" t="s">
        <v>1815</v>
      </c>
      <c r="O102" s="717">
        <v>1</v>
      </c>
      <c r="P102" s="781">
        <v>2</v>
      </c>
      <c r="Q102" s="781">
        <v>3</v>
      </c>
      <c r="R102" s="1108">
        <v>4</v>
      </c>
      <c r="S102" s="1443" t="s">
        <v>2568</v>
      </c>
    </row>
    <row r="103" spans="1:20" s="593" customFormat="1" ht="18" customHeight="1">
      <c r="A103" s="1523"/>
      <c r="F103" s="599"/>
      <c r="G103" s="599"/>
      <c r="H103" s="599"/>
      <c r="I103" s="599"/>
      <c r="L103" s="600"/>
      <c r="M103" s="600"/>
      <c r="N103" s="1420" t="s">
        <v>2591</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2592</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1814</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3017</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3787</v>
      </c>
      <c r="O108" s="1171" t="b">
        <f>OR(Kategorie1=3,Kategorie2=3,Kategorie3=3,Kategorie4=3)</f>
        <v>0</v>
      </c>
      <c r="P108" s="1171" t="s">
        <v>3788</v>
      </c>
      <c r="Q108" s="1171"/>
      <c r="R108" s="1173"/>
    </row>
    <row r="109" spans="1:20" s="593" customFormat="1" ht="18" customHeight="1">
      <c r="A109" s="1523"/>
      <c r="F109" s="599"/>
      <c r="G109" s="599"/>
      <c r="H109" s="599"/>
      <c r="I109" s="599"/>
      <c r="L109" s="600"/>
      <c r="M109" s="600"/>
      <c r="N109" s="1844" t="s">
        <v>3789</v>
      </c>
      <c r="O109" s="1491">
        <f>IF(KategorieEFH,H118,0)</f>
        <v>0</v>
      </c>
      <c r="P109" s="1287" t="s">
        <v>672</v>
      </c>
    </row>
    <row r="110" spans="1:20" s="593" customFormat="1" ht="18" customHeight="1">
      <c r="A110" s="1523"/>
      <c r="F110" s="599"/>
      <c r="G110" s="599"/>
      <c r="H110" s="599"/>
      <c r="I110" s="599"/>
      <c r="L110" s="600"/>
      <c r="M110" s="600"/>
      <c r="N110" s="1844" t="s">
        <v>3790</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735" t="str">
        <f>Uebersetzung!D463</f>
        <v>Eigenstromerzeugung</v>
      </c>
      <c r="C115" s="2736"/>
      <c r="D115" s="2736"/>
      <c r="E115" s="2736"/>
      <c r="F115" s="2737"/>
      <c r="G115" s="2730" t="str">
        <f>Uebersetzung!D413</f>
        <v>spezifischer Jahresertrag [kWh/kWp]</v>
      </c>
      <c r="H115" s="2731"/>
      <c r="I115" s="2732" t="str">
        <f>Uebersetzung!D381</f>
        <v>Eigenverbrauchsrate [%]</v>
      </c>
      <c r="J115" s="2733"/>
      <c r="K115" s="2734"/>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46" t="str">
        <f>H116</f>
        <v>Eingabe</v>
      </c>
      <c r="K116" s="2747"/>
      <c r="L116" s="600"/>
      <c r="M116" s="600"/>
    </row>
    <row r="117" spans="1:14" s="593" customFormat="1" ht="18" hidden="1" customHeight="1">
      <c r="A117" s="1538" t="s">
        <v>1905</v>
      </c>
      <c r="B117" s="2750" t="str">
        <f>Uebersetzung!D382</f>
        <v>Installierte Leistung (ohne WKK)  [kWp]</v>
      </c>
      <c r="C117" s="2751"/>
      <c r="D117" s="2752"/>
      <c r="E117" s="2427">
        <f>Eingaben!F51</f>
        <v>0</v>
      </c>
      <c r="F117" s="1441" t="s">
        <v>1858</v>
      </c>
      <c r="G117" s="1495">
        <f>IF(OR(H117="",H117=0),800,H117)</f>
        <v>800</v>
      </c>
      <c r="H117" s="2428">
        <f>Eingaben!F53</f>
        <v>0</v>
      </c>
      <c r="I117" s="1498">
        <f>AI71</f>
        <v>0.2</v>
      </c>
      <c r="J117" s="2748">
        <f>Eingaben!J53</f>
        <v>0</v>
      </c>
      <c r="K117" s="2749"/>
      <c r="L117" s="600"/>
      <c r="M117" s="600"/>
      <c r="N117" s="2465"/>
    </row>
    <row r="118" spans="1:14" s="593" customFormat="1" ht="18" hidden="1" customHeight="1">
      <c r="A118" s="1529" t="s">
        <v>2603</v>
      </c>
      <c r="B118" s="2753" t="str">
        <f>Uebersetzung!D414</f>
        <v>spezifische, installierte Leistung pro m2 EBF  [W/m2] :</v>
      </c>
      <c r="C118" s="2754"/>
      <c r="D118" s="2755"/>
      <c r="E118" s="1489">
        <f>IF(EBF&gt;0,E117*1000/EBF,0)</f>
        <v>0</v>
      </c>
      <c r="F118" s="1490" t="s">
        <v>1859</v>
      </c>
      <c r="G118" s="1503" t="str">
        <f>Uebersetzung!D475</f>
        <v>Grösse Batterie [kWh]</v>
      </c>
      <c r="H118" s="2429">
        <f>Eingaben!J52</f>
        <v>0</v>
      </c>
      <c r="I118" s="1502" t="str">
        <f>Uebersetzung!D476</f>
        <v>Batterie-verluste [%]:</v>
      </c>
      <c r="J118" s="2744">
        <v>0</v>
      </c>
      <c r="K118" s="2745"/>
      <c r="L118" s="600"/>
      <c r="M118" s="600"/>
    </row>
    <row r="119" spans="1:14" s="593" customFormat="1" ht="18" hidden="1" customHeight="1">
      <c r="A119" s="1539" t="s">
        <v>1906</v>
      </c>
      <c r="B119" s="2741" t="str">
        <f>Uebersetzung!D452</f>
        <v>Minimale Grösse der Eigenstromerzeugung  [kWp]:</v>
      </c>
      <c r="C119" s="2742"/>
      <c r="D119" s="2743"/>
      <c r="E119" s="1492">
        <f>IF(Z73,"0",MIN(30,MAX(Z67*0.01+Nachweis!Q28*EBF/G117,0)))</f>
        <v>0</v>
      </c>
      <c r="F119" s="1493" t="s">
        <v>1858</v>
      </c>
      <c r="G119" s="1335"/>
      <c r="H119" s="1336" t="str">
        <f>Uebersetzung!D386</f>
        <v xml:space="preserve">Anforderung erfüllt?    </v>
      </c>
      <c r="I119" s="2622" t="str">
        <f>IF(wkk,Uebersetzung!D25,IF(EBF=0,"",IF(E119="0",Uebersetzung!$D$25,IF(ROUND(E117,2)&gt;=ROUND(E119,2),Uebersetzung!$D$25,Uebersetzung!$D$26))))</f>
        <v/>
      </c>
      <c r="J119" s="2623"/>
      <c r="K119" s="2624"/>
      <c r="L119" s="600"/>
      <c r="M119" s="600"/>
    </row>
    <row r="120" spans="1:14" s="593" customFormat="1" ht="18" hidden="1" customHeight="1">
      <c r="A120" s="1525"/>
      <c r="B120" s="1386" t="s">
        <v>2214</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1910</v>
      </c>
      <c r="B121" s="2738" t="str">
        <f>Uebersetzung!D455</f>
        <v>Stromproduktion deckt Bedarf:</v>
      </c>
      <c r="C121" s="2739"/>
      <c r="D121" s="2739"/>
      <c r="E121" s="2740"/>
      <c r="F121" s="1338" t="s">
        <v>524</v>
      </c>
      <c r="G121" s="1387">
        <f>S15+S18+S44+S56+S59+S68+S94+S100+S19</f>
        <v>0</v>
      </c>
      <c r="H121" s="1388">
        <f>IF(EBF&gt;0,G117*E117/EBF-Nachweis!Q28,0)*2</f>
        <v>0</v>
      </c>
      <c r="I121" s="2727" t="str">
        <f>IF(EBF=0,"",IF(H121="0",Uebersetzung!$D$25,IF(ROUND(H121,1)&gt;=ROUND(G121,1),Uebersetzung!$D$25,Uebersetzung!$D$26)))</f>
        <v/>
      </c>
      <c r="J121" s="2728"/>
      <c r="K121" s="2729"/>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A121:K121">
    <cfRule type="expression" dxfId="227" priority="53">
      <formula>minergiea=FALSE</formula>
    </cfRule>
  </conditionalFormatting>
  <conditionalFormatting sqref="B119 E119:K119">
    <cfRule type="expression" dxfId="226" priority="63">
      <formula>OR(minergie=TRUE,minergiep=TRUE,MUKEN=warh)</formula>
    </cfRule>
  </conditionalFormatting>
  <conditionalFormatting sqref="B26:C26">
    <cfRule type="expression" dxfId="225" priority="18">
      <formula>minergiea</formula>
    </cfRule>
  </conditionalFormatting>
  <conditionalFormatting sqref="B44:C44">
    <cfRule type="expression" dxfId="224" priority="126">
      <formula>Zweckumbau=FALSE</formula>
    </cfRule>
  </conditionalFormatting>
  <conditionalFormatting sqref="B120:K120">
    <cfRule type="expression" dxfId="223" priority="62" stopIfTrue="1">
      <formula>minergiea=FALSE</formula>
    </cfRule>
  </conditionalFormatting>
  <conditionalFormatting sqref="C17:D18">
    <cfRule type="expression" dxfId="222" priority="6">
      <formula>$M$19=FALSE</formula>
    </cfRule>
  </conditionalFormatting>
  <conditionalFormatting sqref="C61:E61">
    <cfRule type="expression" dxfId="221" priority="59">
      <formula>minergiea=FALSE</formula>
    </cfRule>
  </conditionalFormatting>
  <conditionalFormatting sqref="D26">
    <cfRule type="expression" dxfId="220" priority="17">
      <formula>minergiea</formula>
    </cfRule>
  </conditionalFormatting>
  <conditionalFormatting sqref="D50 J50:K50">
    <cfRule type="cellIs" dxfId="219" priority="583" operator="equal">
      <formula>$Q$12</formula>
    </cfRule>
  </conditionalFormatting>
  <conditionalFormatting sqref="D50">
    <cfRule type="cellIs" dxfId="218" priority="585" operator="equal">
      <formula>$R$12</formula>
    </cfRule>
  </conditionalFormatting>
  <conditionalFormatting sqref="E26">
    <cfRule type="expression" dxfId="217" priority="16">
      <formula>minergiea</formula>
    </cfRule>
  </conditionalFormatting>
  <conditionalFormatting sqref="F21">
    <cfRule type="expression" dxfId="216" priority="30">
      <formula>wohnen1</formula>
    </cfRule>
  </conditionalFormatting>
  <conditionalFormatting sqref="F25">
    <cfRule type="expression" dxfId="215" priority="5">
      <formula>wohnen1</formula>
    </cfRule>
  </conditionalFormatting>
  <conditionalFormatting sqref="F26">
    <cfRule type="expression" dxfId="214" priority="22">
      <formula>AND(Kategorie1 &gt;1, Kategorie1&lt;10)</formula>
    </cfRule>
  </conditionalFormatting>
  <conditionalFormatting sqref="F33:F41">
    <cfRule type="expression" dxfId="213" priority="15">
      <formula>wohnen1</formula>
    </cfRule>
  </conditionalFormatting>
  <conditionalFormatting sqref="F44">
    <cfRule type="expression" dxfId="212" priority="634">
      <formula>$O$85</formula>
    </cfRule>
  </conditionalFormatting>
  <conditionalFormatting sqref="F45">
    <cfRule type="expression" dxfId="211" priority="38">
      <formula>Kategorie1&gt;3</formula>
    </cfRule>
  </conditionalFormatting>
  <conditionalFormatting sqref="F46:F47">
    <cfRule type="expression" dxfId="210" priority="658">
      <formula>$O$97</formula>
    </cfRule>
  </conditionalFormatting>
  <conditionalFormatting sqref="F48:F49">
    <cfRule type="expression" dxfId="209" priority="662">
      <formula>AND($O$89,$O$53=FALSE)</formula>
    </cfRule>
    <cfRule type="expression" dxfId="208" priority="663" stopIfTrue="1">
      <formula>$O$53</formula>
    </cfRule>
  </conditionalFormatting>
  <conditionalFormatting sqref="G18">
    <cfRule type="expression" dxfId="207" priority="44">
      <formula>Zonen&gt;1</formula>
    </cfRule>
  </conditionalFormatting>
  <conditionalFormatting sqref="G21">
    <cfRule type="expression" dxfId="206" priority="28">
      <formula>wohnen2</formula>
    </cfRule>
  </conditionalFormatting>
  <conditionalFormatting sqref="G25">
    <cfRule type="expression" dxfId="205" priority="4">
      <formula>wohnen2</formula>
    </cfRule>
  </conditionalFormatting>
  <conditionalFormatting sqref="G26">
    <cfRule type="expression" dxfId="204" priority="21">
      <formula>AND(Kategorie2 &gt;1, Kategorie2&lt;10)</formula>
    </cfRule>
  </conditionalFormatting>
  <conditionalFormatting sqref="G33:G41">
    <cfRule type="expression" dxfId="203" priority="55">
      <formula>wohnen2</formula>
    </cfRule>
  </conditionalFormatting>
  <conditionalFormatting sqref="G44">
    <cfRule type="expression" dxfId="202" priority="635">
      <formula>$P$85</formula>
    </cfRule>
  </conditionalFormatting>
  <conditionalFormatting sqref="G45">
    <cfRule type="expression" dxfId="201" priority="36">
      <formula>AND(Kategorie2&gt;3,Zonen&gt;1)</formula>
    </cfRule>
  </conditionalFormatting>
  <conditionalFormatting sqref="G46:G47">
    <cfRule type="expression" dxfId="200" priority="659">
      <formula>$P$97</formula>
    </cfRule>
  </conditionalFormatting>
  <conditionalFormatting sqref="G48:G49">
    <cfRule type="expression" dxfId="199" priority="664">
      <formula>AND($P$89,$P$53=FALSE)</formula>
    </cfRule>
    <cfRule type="expression" dxfId="198" priority="665" stopIfTrue="1">
      <formula>$P$53</formula>
    </cfRule>
  </conditionalFormatting>
  <conditionalFormatting sqref="G118">
    <cfRule type="expression" dxfId="197" priority="10">
      <formula>KategorieEFH=FALSE</formula>
    </cfRule>
  </conditionalFormatting>
  <conditionalFormatting sqref="H18">
    <cfRule type="expression" dxfId="196" priority="43">
      <formula>Zonen&gt;2</formula>
    </cfRule>
  </conditionalFormatting>
  <conditionalFormatting sqref="H21">
    <cfRule type="expression" dxfId="195" priority="29">
      <formula>wohnen3</formula>
    </cfRule>
  </conditionalFormatting>
  <conditionalFormatting sqref="H25">
    <cfRule type="expression" dxfId="194" priority="3">
      <formula>wohnen3</formula>
    </cfRule>
  </conditionalFormatting>
  <conditionalFormatting sqref="H26">
    <cfRule type="expression" dxfId="193" priority="20">
      <formula>AND(Kategorie3 &gt;1, Kategorie3&lt;10)</formula>
    </cfRule>
  </conditionalFormatting>
  <conditionalFormatting sqref="H33:H41">
    <cfRule type="expression" dxfId="192" priority="56">
      <formula>wohnen3</formula>
    </cfRule>
  </conditionalFormatting>
  <conditionalFormatting sqref="H44">
    <cfRule type="expression" dxfId="191" priority="636">
      <formula>$Q$85</formula>
    </cfRule>
  </conditionalFormatting>
  <conditionalFormatting sqref="H45">
    <cfRule type="expression" dxfId="190" priority="35">
      <formula>AND(Kategorie3&gt;3,Zonen&gt;2)</formula>
    </cfRule>
  </conditionalFormatting>
  <conditionalFormatting sqref="H46:H47">
    <cfRule type="expression" dxfId="189" priority="660">
      <formula>$Q$97</formula>
    </cfRule>
  </conditionalFormatting>
  <conditionalFormatting sqref="H48:H49">
    <cfRule type="expression" dxfId="188" priority="666">
      <formula>AND($Q$89,$Q$53=FALSE)</formula>
    </cfRule>
    <cfRule type="expression" dxfId="187" priority="667" stopIfTrue="1">
      <formula>$Q$53</formula>
    </cfRule>
  </conditionalFormatting>
  <conditionalFormatting sqref="H118">
    <cfRule type="expression" dxfId="186" priority="9">
      <formula>KategorieEFH=FALSE</formula>
    </cfRule>
  </conditionalFormatting>
  <conditionalFormatting sqref="I18">
    <cfRule type="expression" dxfId="185" priority="42">
      <formula>Zonen&gt;3</formula>
    </cfRule>
  </conditionalFormatting>
  <conditionalFormatting sqref="I21">
    <cfRule type="expression" dxfId="184" priority="27">
      <formula>wohnen4</formula>
    </cfRule>
  </conditionalFormatting>
  <conditionalFormatting sqref="I25">
    <cfRule type="expression" dxfId="183" priority="2">
      <formula>wohnen4</formula>
    </cfRule>
  </conditionalFormatting>
  <conditionalFormatting sqref="I26">
    <cfRule type="expression" dxfId="182" priority="19">
      <formula>AND(Kategorie4 &gt;1, Kategorie4&lt;10)</formula>
    </cfRule>
  </conditionalFormatting>
  <conditionalFormatting sqref="I33:I41">
    <cfRule type="expression" dxfId="181" priority="54">
      <formula>wohnen4</formula>
    </cfRule>
  </conditionalFormatting>
  <conditionalFormatting sqref="I44">
    <cfRule type="expression" dxfId="180" priority="637">
      <formula>$R$85</formula>
    </cfRule>
  </conditionalFormatting>
  <conditionalFormatting sqref="I45">
    <cfRule type="expression" dxfId="179" priority="37">
      <formula>AND(Kategorie4&gt;3,Zonen&gt;3)</formula>
    </cfRule>
  </conditionalFormatting>
  <conditionalFormatting sqref="I46:I47">
    <cfRule type="expression" dxfId="178" priority="661">
      <formula>$R$97</formula>
    </cfRule>
  </conditionalFormatting>
  <conditionalFormatting sqref="I48:I49">
    <cfRule type="expression" dxfId="177" priority="668">
      <formula>AND($R$89,$R$53=FALSE)</formula>
    </cfRule>
    <cfRule type="expression" dxfId="176" priority="669" stopIfTrue="1">
      <formula>$R$53</formula>
    </cfRule>
  </conditionalFormatting>
  <conditionalFormatting sqref="I63">
    <cfRule type="expression" dxfId="175" priority="103" stopIfTrue="1">
      <formula>$B$63&lt;&gt;""</formula>
    </cfRule>
  </conditionalFormatting>
  <conditionalFormatting sqref="I64">
    <cfRule type="expression" dxfId="174" priority="104" stopIfTrue="1">
      <formula>$B$64&lt;&gt;""</formula>
    </cfRule>
  </conditionalFormatting>
  <conditionalFormatting sqref="I65">
    <cfRule type="expression" dxfId="173" priority="323" stopIfTrue="1">
      <formula>$B$65&lt;&gt;""</formula>
    </cfRule>
  </conditionalFormatting>
  <conditionalFormatting sqref="I66">
    <cfRule type="expression" dxfId="172" priority="324" stopIfTrue="1">
      <formula>$B$66&lt;&gt;""</formula>
    </cfRule>
  </conditionalFormatting>
  <conditionalFormatting sqref="I67">
    <cfRule type="expression" dxfId="171" priority="325" stopIfTrue="1">
      <formula>$B$67&lt;&gt;""</formula>
    </cfRule>
  </conditionalFormatting>
  <conditionalFormatting sqref="I68">
    <cfRule type="expression" dxfId="170" priority="326" stopIfTrue="1">
      <formula>OR($B$68&lt;&gt;"",$B$68=0)</formula>
    </cfRule>
  </conditionalFormatting>
  <conditionalFormatting sqref="I69">
    <cfRule type="expression" dxfId="169" priority="86" stopIfTrue="1">
      <formula>$B$69&lt;&gt;""</formula>
    </cfRule>
  </conditionalFormatting>
  <conditionalFormatting sqref="I70">
    <cfRule type="expression" dxfId="168" priority="327" stopIfTrue="1">
      <formula>$B$70&lt;&gt;""</formula>
    </cfRule>
  </conditionalFormatting>
  <conditionalFormatting sqref="I71">
    <cfRule type="expression" dxfId="167" priority="87" stopIfTrue="1">
      <formula>OR($B$71&lt;&gt;"",$B$71=0)</formula>
    </cfRule>
  </conditionalFormatting>
  <conditionalFormatting sqref="I72">
    <cfRule type="expression" dxfId="166" priority="11" stopIfTrue="1">
      <formula>OR($B$72&lt;&gt;"",$B$72=0)</formula>
    </cfRule>
  </conditionalFormatting>
  <conditionalFormatting sqref="I118">
    <cfRule type="expression" dxfId="165" priority="8">
      <formula>$O$110</formula>
    </cfRule>
  </conditionalFormatting>
  <conditionalFormatting sqref="I119 I121">
    <cfRule type="cellIs" dxfId="164" priority="571" stopIfTrue="1" operator="equal">
      <formula>$N$12</formula>
    </cfRule>
    <cfRule type="cellIs" dxfId="163" priority="572" stopIfTrue="1" operator="equal">
      <formula>$N$13</formula>
    </cfRule>
  </conditionalFormatting>
  <conditionalFormatting sqref="I118:K118">
    <cfRule type="expression" dxfId="162" priority="670">
      <formula>OR($O$109=0,$O$109="")</formula>
    </cfRule>
  </conditionalFormatting>
  <conditionalFormatting sqref="J63 J65 K66 J69">
    <cfRule type="cellIs" dxfId="161" priority="573" stopIfTrue="1" operator="equal">
      <formula>$Q$12</formula>
    </cfRule>
    <cfRule type="cellIs" dxfId="160" priority="574" stopIfTrue="1" operator="equal">
      <formula>$R$12</formula>
    </cfRule>
  </conditionalFormatting>
  <conditionalFormatting sqref="J64">
    <cfRule type="expression" dxfId="159" priority="305" stopIfTrue="1">
      <formula>$B$64=""</formula>
    </cfRule>
  </conditionalFormatting>
  <conditionalFormatting sqref="J71:J72">
    <cfRule type="cellIs" dxfId="158" priority="12" stopIfTrue="1" operator="equal">
      <formula>$Q$12</formula>
    </cfRule>
    <cfRule type="cellIs" dxfId="157" priority="13" stopIfTrue="1" operator="equal">
      <formula>$R$12</formula>
    </cfRule>
  </conditionalFormatting>
  <conditionalFormatting sqref="J118">
    <cfRule type="expression" dxfId="156" priority="671">
      <formula>OR($O$109=0,$O$109="")</formula>
    </cfRule>
  </conditionalFormatting>
  <conditionalFormatting sqref="J118:K118">
    <cfRule type="expression" dxfId="155" priority="7">
      <formula>$O$110</formula>
    </cfRule>
  </conditionalFormatting>
  <conditionalFormatting sqref="K25">
    <cfRule type="expression" dxfId="154" priority="1">
      <formula>$M$25=1</formula>
    </cfRule>
  </conditionalFormatting>
  <conditionalFormatting sqref="K64">
    <cfRule type="expression" dxfId="153" priority="100">
      <formula>$B$64=""</formula>
    </cfRule>
  </conditionalFormatting>
  <conditionalFormatting sqref="Z77">
    <cfRule type="expression" dxfId="152" priority="14">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115" zoomScaleNormal="115"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v2.97</v>
      </c>
      <c r="L1" s="779" t="str">
        <f>Eingaben!K1</f>
        <v>Formular EN101b, v2.97, zu verwenden bis 31. Dezember 2026</v>
      </c>
      <c r="O1" s="782"/>
    </row>
    <row r="2" spans="1:41" ht="17.100000000000001" customHeight="1">
      <c r="B2" s="36"/>
      <c r="C2" s="820"/>
      <c r="D2" s="820"/>
      <c r="E2" s="115"/>
      <c r="F2" s="820"/>
      <c r="G2" s="115"/>
      <c r="H2" s="2641" t="str">
        <f>Eingaben!G2</f>
        <v>Energienachweis</v>
      </c>
      <c r="I2" s="2642"/>
      <c r="J2" s="2642"/>
      <c r="K2" s="2642"/>
      <c r="L2" s="2643"/>
      <c r="N2" s="780"/>
      <c r="O2" s="783" t="str">
        <f>Uebersetzung!D25</f>
        <v>Ja</v>
      </c>
      <c r="P2" s="781" t="s">
        <v>782</v>
      </c>
      <c r="Q2" s="716" t="b">
        <f>IF(Eingaben!E14=Standardwerte!AJ55,TRUE,FALSE)</f>
        <v>1</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4723</v>
      </c>
      <c r="AF2" s="736" t="b">
        <v>1</v>
      </c>
      <c r="AK2" s="2855" t="s">
        <v>2181</v>
      </c>
      <c r="AL2" s="2856"/>
      <c r="AN2" s="1111" t="s">
        <v>2489</v>
      </c>
    </row>
    <row r="3" spans="1:41" ht="17.100000000000001" customHeight="1">
      <c r="B3" s="1087">
        <f>IF(MUKEN,1,0)</f>
        <v>1</v>
      </c>
      <c r="C3" s="143">
        <f>IF(OR(MUKEN,bern),0,1)</f>
        <v>0</v>
      </c>
      <c r="D3" s="42"/>
      <c r="E3" s="2455">
        <f>IF(bern,1,0)</f>
        <v>0</v>
      </c>
      <c r="F3" s="2842" t="str">
        <f>Eingaben!E3</f>
        <v>EN-101b</v>
      </c>
      <c r="G3" s="2645"/>
      <c r="H3" s="2646" t="str">
        <f>Eingaben!G3</f>
        <v>Energiebedarf</v>
      </c>
      <c r="I3" s="2647"/>
      <c r="J3" s="2647"/>
      <c r="K3" s="2647"/>
      <c r="L3" s="2648"/>
      <c r="N3" s="705" t="s">
        <v>775</v>
      </c>
      <c r="O3" s="784" t="str">
        <f>Uebersetzung!D26</f>
        <v>Nein</v>
      </c>
      <c r="AB3" s="751" t="s">
        <v>5159</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2180</v>
      </c>
      <c r="AL3" s="1348" t="s">
        <v>2184</v>
      </c>
      <c r="AN3" s="962" t="s">
        <v>2481</v>
      </c>
    </row>
    <row r="4" spans="1:41" ht="17.100000000000001" customHeight="1">
      <c r="B4" s="94"/>
      <c r="C4" s="60"/>
      <c r="D4" s="60"/>
      <c r="E4" s="116"/>
      <c r="F4" s="60"/>
      <c r="G4" s="116"/>
      <c r="H4" s="2649" t="str">
        <f>Eingaben!G4</f>
        <v>Rechnerische Lösung</v>
      </c>
      <c r="I4" s="2650"/>
      <c r="J4" s="2650"/>
      <c r="K4" s="2650"/>
      <c r="L4" s="2651"/>
      <c r="N4" s="725"/>
      <c r="O4" s="569" t="s">
        <v>725</v>
      </c>
      <c r="P4" s="690" t="s">
        <v>726</v>
      </c>
      <c r="Q4" s="569" t="s">
        <v>725</v>
      </c>
      <c r="R4" s="730"/>
      <c r="S4" s="567"/>
      <c r="T4" s="568"/>
      <c r="U4" s="730"/>
      <c r="V4" s="2791" t="s">
        <v>316</v>
      </c>
      <c r="W4" s="2792"/>
      <c r="X4" s="2834" t="s">
        <v>727</v>
      </c>
      <c r="Y4" s="2835"/>
      <c r="Z4" s="2835"/>
      <c r="AA4" s="2836"/>
      <c r="AB4" s="690" t="s">
        <v>728</v>
      </c>
      <c r="AC4" s="566"/>
      <c r="AD4" s="1802"/>
      <c r="AE4" s="1801" t="s">
        <v>38</v>
      </c>
      <c r="AF4" s="2791" t="s">
        <v>38</v>
      </c>
      <c r="AG4" s="2792"/>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2940</v>
      </c>
      <c r="AF5" s="2793" t="s">
        <v>3585</v>
      </c>
      <c r="AG5" s="2794"/>
      <c r="AK5" s="1361"/>
      <c r="AL5" s="1362"/>
      <c r="AM5" s="1368" t="s">
        <v>2485</v>
      </c>
      <c r="AN5" s="1404">
        <f>L34</f>
        <v>0</v>
      </c>
      <c r="AO5" s="5" t="s">
        <v>524</v>
      </c>
    </row>
    <row r="6" spans="1:41" s="563" customFormat="1" ht="20.100000000000001" customHeight="1">
      <c r="A6" s="1526"/>
      <c r="B6" s="598" t="str">
        <f>Uebersetzung!D256</f>
        <v>Wärmeerzeugung:</v>
      </c>
      <c r="C6" s="674"/>
      <c r="D6" s="674"/>
      <c r="E6" s="663"/>
      <c r="F6" s="663"/>
      <c r="G6" s="664"/>
      <c r="H6" s="2848" t="str">
        <f>Uebersetzung!D257</f>
        <v>Nutzungsgrad / JAZ</v>
      </c>
      <c r="I6" s="2849"/>
      <c r="J6" s="2845" t="str">
        <f>Uebersetzung!D258</f>
        <v>Deckungsgrad [%]</v>
      </c>
      <c r="K6" s="2846"/>
      <c r="L6" s="2847"/>
      <c r="M6" s="1531"/>
      <c r="N6" s="691" t="s">
        <v>729</v>
      </c>
      <c r="O6" s="570" t="s">
        <v>730</v>
      </c>
      <c r="P6" s="728" t="s">
        <v>1206</v>
      </c>
      <c r="Q6" s="570" t="s">
        <v>731</v>
      </c>
      <c r="R6" s="719" t="s">
        <v>236</v>
      </c>
      <c r="S6" s="2837" t="s">
        <v>732</v>
      </c>
      <c r="T6" s="2838"/>
      <c r="U6" s="728" t="s">
        <v>733</v>
      </c>
      <c r="V6" s="570" t="s">
        <v>734</v>
      </c>
      <c r="W6" s="728" t="s">
        <v>735</v>
      </c>
      <c r="X6" s="2837" t="s">
        <v>736</v>
      </c>
      <c r="Y6" s="2838"/>
      <c r="Z6" s="570" t="s">
        <v>737</v>
      </c>
      <c r="AA6" s="692" t="s">
        <v>737</v>
      </c>
      <c r="AB6" s="728" t="s">
        <v>738</v>
      </c>
      <c r="AC6" s="570" t="s">
        <v>99</v>
      </c>
      <c r="AD6" s="1793" t="s">
        <v>2202</v>
      </c>
      <c r="AE6" s="570" t="s">
        <v>3586</v>
      </c>
      <c r="AF6" s="570" t="s">
        <v>3586</v>
      </c>
      <c r="AG6" s="570" t="s">
        <v>3586</v>
      </c>
      <c r="AH6" s="1356"/>
      <c r="AK6" s="1363"/>
      <c r="AL6" s="1364"/>
      <c r="AM6" s="1369" t="s">
        <v>2486</v>
      </c>
      <c r="AN6" s="584">
        <f>qw</f>
        <v>0</v>
      </c>
      <c r="AO6" s="5" t="s">
        <v>524</v>
      </c>
    </row>
    <row r="7" spans="1:41" s="563" customFormat="1" ht="18" customHeight="1">
      <c r="A7" s="1526" t="s">
        <v>408</v>
      </c>
      <c r="B7" s="2850" t="str">
        <f>Uebersetzung!D259</f>
        <v>Wärmeerzeugung A</v>
      </c>
      <c r="C7" s="2851"/>
      <c r="D7" s="2851"/>
      <c r="E7" s="2851"/>
      <c r="F7" s="2851"/>
      <c r="G7" s="2852"/>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2203</v>
      </c>
      <c r="AE7" s="576" t="s">
        <v>525</v>
      </c>
      <c r="AF7" s="576" t="s">
        <v>525</v>
      </c>
      <c r="AG7" s="575" t="s">
        <v>526</v>
      </c>
      <c r="AH7" s="1356"/>
      <c r="AK7" s="1363"/>
      <c r="AL7" s="1364"/>
      <c r="AM7" s="1405" t="s">
        <v>2487</v>
      </c>
      <c r="AN7" s="584">
        <f>AN5+AN6</f>
        <v>0</v>
      </c>
      <c r="AO7" s="5" t="s">
        <v>524</v>
      </c>
    </row>
    <row r="8" spans="1:41" s="563" customFormat="1" ht="18" customHeight="1">
      <c r="A8" s="1540" t="s">
        <v>409</v>
      </c>
      <c r="B8" s="2803" t="s">
        <v>557</v>
      </c>
      <c r="C8" s="2804"/>
      <c r="D8" s="2804"/>
      <c r="E8" s="2804"/>
      <c r="F8" s="2804"/>
      <c r="G8" s="2805"/>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97">
        <f>IF(G9&gt;0,IF(Hoehe&lt;800,(440/((1/G9)+610/(EBF*(qw+qh)))/G9),(490/((1/G9)+610/(EBF*(qw+qh)))/G9)),)</f>
        <v>0</v>
      </c>
      <c r="Y8" s="2798"/>
      <c r="Z8" s="577">
        <f>IF(G9&gt;0,IF(qw&gt;0,IF(Hoehe&lt;800,(640/((1/G9)+380/(EBF*qw))/G9),(700/((1/G9)+380/(EBF*qw))/G9)),),)</f>
        <v>0</v>
      </c>
      <c r="AA8" s="573"/>
      <c r="AB8" s="569">
        <f>IF(U8,IF(G9&gt;0.5,1,0),0)</f>
        <v>0</v>
      </c>
      <c r="AC8" s="573" t="b">
        <f>INDEX(Standardwerte!$AG$108:$AG$155,M8,1)</f>
        <v>0</v>
      </c>
      <c r="AD8" s="1798" t="b">
        <f>(Q8&lt;0)</f>
        <v>0</v>
      </c>
      <c r="AE8" s="1799" t="s">
        <v>3583</v>
      </c>
      <c r="AF8" s="1799" t="s">
        <v>3583</v>
      </c>
      <c r="AG8" s="1799" t="s">
        <v>3583</v>
      </c>
      <c r="AH8" s="1356"/>
      <c r="AJ8" s="1369" t="s">
        <v>2188</v>
      </c>
      <c r="AK8" s="1363">
        <f>INDEX(Standardwerte!$AP$108:$AP$155,M8,1)</f>
        <v>0</v>
      </c>
      <c r="AL8" s="1364">
        <f>IF(AND(THG_Scope1,AK9),0,IF(WirkungsgradA&gt;0,AK8*WaermebedarfA/WirkungsgradA,0))</f>
        <v>0</v>
      </c>
      <c r="AM8" s="1369" t="s">
        <v>2188</v>
      </c>
      <c r="AN8" s="1407">
        <f>IF(AND(M8=15,G9&lt;0.35),1,1-INDEX(Standardwerte!$AS$108:$AS$155,Nachweis!M8,1))</f>
        <v>1</v>
      </c>
    </row>
    <row r="9" spans="1:41" s="563" customFormat="1" ht="14.1" customHeight="1">
      <c r="A9" s="1540" t="s">
        <v>410</v>
      </c>
      <c r="B9" s="2853" t="str">
        <f>IF(INDEX(Standardwerte!$AD$108:$AD$155,M8,1)=0,"",INDEX(Standardwerte!$AD$108:$AD$155,M8,1))</f>
        <v/>
      </c>
      <c r="C9" s="2854"/>
      <c r="D9" s="2854"/>
      <c r="E9" s="2854"/>
      <c r="F9" s="1796">
        <f>IF(M8=35,IF(G9="",0,MIN(G9,5)),0)</f>
        <v>0</v>
      </c>
      <c r="G9" s="792"/>
      <c r="H9" s="2788"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4722</v>
      </c>
      <c r="AK9" s="1363">
        <f>INDEX(Standardwerte!$AV$108:$AV$155,M8,1)</f>
        <v>0</v>
      </c>
      <c r="AL9" s="1364"/>
      <c r="AM9" s="1369" t="s">
        <v>2483</v>
      </c>
      <c r="AN9" s="1406">
        <f>J8/100</f>
        <v>0</v>
      </c>
    </row>
    <row r="10" spans="1:41" s="563" customFormat="1" ht="14.1" customHeight="1">
      <c r="A10" s="1526" t="s">
        <v>411</v>
      </c>
      <c r="B10" s="2795" t="str">
        <f>IF(INDEX(Standardwerte!$AD$108:$AE$155,M8,2)=0,"",INDEX(Standardwerte!$AD$108:$AE$155,M8,2))</f>
        <v/>
      </c>
      <c r="C10" s="2796"/>
      <c r="D10" s="2796"/>
      <c r="E10" s="2796"/>
      <c r="F10" s="1797" t="str">
        <f>IF(OR(M8=35,M8=36),IF(G10="",32,MIN(G10,45)),IF(M8=33,IF(G10&gt;0,G10,X8),IF(M8=32,IF(G10&gt;0,G10,Z8),"")))</f>
        <v/>
      </c>
      <c r="G10" s="791"/>
      <c r="H10" s="2789"/>
      <c r="I10" s="650"/>
      <c r="J10" s="2799" t="str">
        <f>IF(AND(J9&gt;0,J9&lt;&gt;""),IF(J8&gt;J9+0.1,"Deckungsgrad zu hoch",""),"")</f>
        <v/>
      </c>
      <c r="K10" s="698"/>
      <c r="L10" s="2801"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2484</v>
      </c>
      <c r="AN10" s="1406">
        <f>L8/100</f>
        <v>0</v>
      </c>
    </row>
    <row r="11" spans="1:41" s="563" customFormat="1" ht="15.95" customHeight="1">
      <c r="A11" s="1526" t="s">
        <v>412</v>
      </c>
      <c r="B11" s="2843" t="str">
        <f>Uebersetzung!D260</f>
        <v>Wärmeerzeugung B</v>
      </c>
      <c r="C11" s="2844"/>
      <c r="D11" s="2844"/>
      <c r="E11" s="2844"/>
      <c r="F11" s="646"/>
      <c r="G11" s="646"/>
      <c r="H11" s="2790"/>
      <c r="I11" s="646"/>
      <c r="J11" s="2800"/>
      <c r="K11" s="698"/>
      <c r="L11" s="2802"/>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803" t="s">
        <v>557</v>
      </c>
      <c r="C12" s="2804"/>
      <c r="D12" s="2804"/>
      <c r="E12" s="2804"/>
      <c r="F12" s="2804"/>
      <c r="G12" s="2805"/>
      <c r="H12" s="647"/>
      <c r="I12" s="648">
        <f>IF(H12&lt;&gt;"",IF(H12&gt;W12,W12,H12),V12)</f>
        <v>0</v>
      </c>
      <c r="J12" s="649"/>
      <c r="K12" s="787"/>
      <c r="L12" s="789">
        <v>20</v>
      </c>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97">
        <f>IF(G13&gt;0,IF(Hoehe&lt;800,(440/((1/G13)+610/(EBF*(qw+qh)))/G13),(490/((1/G13)+610/(EBF*(qw+qh)))/G13)),)</f>
        <v>0</v>
      </c>
      <c r="Y12" s="2798"/>
      <c r="Z12" s="584">
        <f>IF(G13&gt;0,IF(qw&gt;0,IF(Hoehe&lt;800,(640/((1/G13)+380/(EBF*qw))/G13),(700/((1/G13)+380/(EBF*qw))/G13)),),)</f>
        <v>0</v>
      </c>
      <c r="AA12" s="571"/>
      <c r="AB12" s="569">
        <f>IF(U12,IF(G13&gt;0.5,1,0),0)</f>
        <v>0</v>
      </c>
      <c r="AC12" s="573" t="b">
        <f>INDEX(Standardwerte!$AG$108:$AG$155,M12,1)</f>
        <v>0</v>
      </c>
      <c r="AD12" s="1798" t="b">
        <f>(Q12&lt;0)</f>
        <v>0</v>
      </c>
      <c r="AE12" s="1799" t="s">
        <v>3583</v>
      </c>
      <c r="AF12" s="1799" t="s">
        <v>3583</v>
      </c>
      <c r="AG12" s="1799" t="s">
        <v>3583</v>
      </c>
      <c r="AH12" s="728"/>
      <c r="AJ12" s="1369" t="s">
        <v>2189</v>
      </c>
      <c r="AK12" s="1363">
        <f>INDEX(Standardwerte!$AP$108:$AP$155,M12,1)</f>
        <v>0</v>
      </c>
      <c r="AL12" s="1364">
        <f>IF(AND(THG_Scope1,AK13),0,IF(WirkungsgradB&gt;0,AK12*WaermebedarfB/WirkungsgradB,0))</f>
        <v>0</v>
      </c>
      <c r="AM12" s="1369" t="s">
        <v>2189</v>
      </c>
      <c r="AN12" s="1406">
        <f>IF(AND(M12=15,G13&lt;0.35),1,1-INDEX(Standardwerte!$AS$108:$AS$155,Nachweis!M12,1))</f>
        <v>1</v>
      </c>
    </row>
    <row r="13" spans="1:41" s="563" customFormat="1" ht="14.1" customHeight="1">
      <c r="A13" s="1526" t="s">
        <v>414</v>
      </c>
      <c r="B13" s="2853" t="str">
        <f>IF(INDEX(Standardwerte!$AD$108:$AD$155,M12,1)=0,"",INDEX(Standardwerte!$AD$108:$AD$155,M12,1))</f>
        <v/>
      </c>
      <c r="C13" s="2854"/>
      <c r="D13" s="2854"/>
      <c r="E13" s="2854"/>
      <c r="F13" s="1796">
        <f>IF(M12=35,IF(G13="",0,MIN(G13,5)),0)</f>
        <v>0</v>
      </c>
      <c r="G13" s="792"/>
      <c r="H13" s="2788"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4722</v>
      </c>
      <c r="AK13" s="1363">
        <f>INDEX(Standardwerte!$AV$108:$AV$155,M12,1)</f>
        <v>0</v>
      </c>
      <c r="AL13" s="1364"/>
      <c r="AM13" s="1369" t="s">
        <v>2483</v>
      </c>
      <c r="AN13" s="1406">
        <f>J12/100</f>
        <v>0</v>
      </c>
    </row>
    <row r="14" spans="1:41" s="563" customFormat="1" ht="14.1" customHeight="1">
      <c r="A14" s="1540" t="s">
        <v>415</v>
      </c>
      <c r="B14" s="2795" t="str">
        <f>IF(INDEX(Standardwerte!$AD$108:$AE$155,M12,2)=0,"",INDEX(Standardwerte!$AD$108:$AE$155,M12,2))</f>
        <v/>
      </c>
      <c r="C14" s="2796"/>
      <c r="D14" s="2796"/>
      <c r="E14" s="2796"/>
      <c r="F14" s="1797" t="str">
        <f>IF(OR(M12=35,M12=36),IF(G14="",32,MIN(G14,45)),IF(M12=33,IF(G14&gt;0,G14,X12),IF(M12=32,IF(G14&gt;0,G14,Z12),"")))</f>
        <v/>
      </c>
      <c r="G14" s="791"/>
      <c r="H14" s="2789"/>
      <c r="I14" s="650"/>
      <c r="J14" s="2799" t="str">
        <f>IF(AND(J13&gt;0,J13&lt;&gt;""),IF(J12&gt;J13+0.1,"Deckungsgrad zu hoch",""),"")</f>
        <v/>
      </c>
      <c r="K14" s="698"/>
      <c r="L14" s="2801"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2484</v>
      </c>
      <c r="AN14" s="1406">
        <f>L12/100</f>
        <v>0.2</v>
      </c>
    </row>
    <row r="15" spans="1:41" s="563" customFormat="1" ht="15.95" customHeight="1">
      <c r="A15" s="1526" t="s">
        <v>416</v>
      </c>
      <c r="B15" s="665" t="str">
        <f>Uebersetzung!D261</f>
        <v>Wärmeerzeugung C</v>
      </c>
      <c r="C15" s="670"/>
      <c r="D15" s="670"/>
      <c r="E15" s="646"/>
      <c r="F15" s="646"/>
      <c r="G15" s="646"/>
      <c r="H15" s="2790"/>
      <c r="I15" s="646"/>
      <c r="J15" s="2800"/>
      <c r="K15" s="698"/>
      <c r="L15" s="2802"/>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803" t="s">
        <v>557</v>
      </c>
      <c r="C16" s="2804"/>
      <c r="D16" s="2804"/>
      <c r="E16" s="2804"/>
      <c r="F16" s="2804"/>
      <c r="G16" s="2805"/>
      <c r="H16" s="647"/>
      <c r="I16" s="648">
        <f>IF(H16&lt;&gt;"",IF(H16&gt;W16,W16,H16),V16)</f>
        <v>0</v>
      </c>
      <c r="J16" s="649"/>
      <c r="K16" s="787"/>
      <c r="L16" s="789">
        <v>80</v>
      </c>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97">
        <f>IF(G17&gt;0,IF(Hoehe&lt;800,(440/((1/G17)+610/(EBF*(qw+qh)))/G17),(490/((1/G17)+610/(EBF*(qw+qh)))/G17)),)</f>
        <v>0</v>
      </c>
      <c r="Y16" s="2798"/>
      <c r="Z16" s="577">
        <f>IF(G17&gt;0,IF(qw&gt;0,IF(Hoehe&lt;800,(640/((1/G17)+380/(EBF*qw))/G17),(700/((1/G17)+380/(EBF*qw))/G17)),),)</f>
        <v>0</v>
      </c>
      <c r="AA16" s="573"/>
      <c r="AB16" s="569">
        <f>IF(U16,IF(G17&gt;0.5,1,0),0)</f>
        <v>0</v>
      </c>
      <c r="AC16" s="1359" t="b">
        <f>INDEX(Standardwerte!$AG$108:$AG$155,M16,1)</f>
        <v>0</v>
      </c>
      <c r="AD16" s="1798" t="b">
        <f>(Q16&lt;0)</f>
        <v>0</v>
      </c>
      <c r="AE16" s="1799" t="s">
        <v>3583</v>
      </c>
      <c r="AF16" s="1799" t="s">
        <v>3583</v>
      </c>
      <c r="AG16" s="1799" t="s">
        <v>3583</v>
      </c>
      <c r="AH16" s="728"/>
      <c r="AJ16" s="1369" t="s">
        <v>2190</v>
      </c>
      <c r="AK16" s="1363">
        <f>INDEX(Standardwerte!$AP$108:$AP$155,M16,1)</f>
        <v>0</v>
      </c>
      <c r="AL16" s="1364">
        <f>IF(AND(THG_Scope1,AK17),0,IF(WirkungsgradC&gt;0,AK16*WaermebedarfC/WirkungsgradC,0))</f>
        <v>0</v>
      </c>
      <c r="AM16" s="1369" t="s">
        <v>2190</v>
      </c>
      <c r="AN16" s="1407">
        <f>IF(AND(M16=15,G17&lt;0.35),1,1-INDEX(Standardwerte!$AS$108:$AS$155,Nachweis!M16,1))</f>
        <v>1</v>
      </c>
    </row>
    <row r="17" spans="1:40" s="563" customFormat="1" ht="14.1" customHeight="1">
      <c r="A17" s="1526" t="s">
        <v>418</v>
      </c>
      <c r="B17" s="2853" t="str">
        <f>IF(INDEX(Standardwerte!$AD$108:$AD$155,M16,1)=0,"",INDEX(Standardwerte!$AD$108:$AD$155,M16,1))</f>
        <v/>
      </c>
      <c r="C17" s="2854"/>
      <c r="D17" s="2854"/>
      <c r="E17" s="2854"/>
      <c r="F17" s="1796">
        <f>IF(M16=35,IF(G17="",0,MIN(G17,5)),0)</f>
        <v>0</v>
      </c>
      <c r="G17" s="1806"/>
      <c r="H17" s="2788"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4722</v>
      </c>
      <c r="AK17" s="1363">
        <f>INDEX(Standardwerte!$AV$108:$AV$155,M16,1)</f>
        <v>0</v>
      </c>
      <c r="AL17" s="1364"/>
      <c r="AM17" s="1369" t="s">
        <v>2483</v>
      </c>
      <c r="AN17" s="1406">
        <f>J16/100</f>
        <v>0</v>
      </c>
    </row>
    <row r="18" spans="1:40" s="563" customFormat="1" ht="14.1" customHeight="1">
      <c r="A18" s="1540" t="s">
        <v>419</v>
      </c>
      <c r="B18" s="2795" t="str">
        <f>IF(INDEX(Standardwerte!$AD$108:$AE$155,M16,2)=0,"",INDEX(Standardwerte!$AD$108:$AE$155,M16,2))</f>
        <v/>
      </c>
      <c r="C18" s="2796"/>
      <c r="D18" s="2796"/>
      <c r="E18" s="2796"/>
      <c r="F18" s="1797" t="str">
        <f>IF(OR(M16=35,M16=36),IF(G18="",32,MIN(G18,45)),IF(M16=33,IF(G18&gt;0,G18,X16),IF(M16=32,IF(G18&gt;0,G18,Z16),"")))</f>
        <v/>
      </c>
      <c r="G18" s="791"/>
      <c r="H18" s="2789"/>
      <c r="I18" s="650"/>
      <c r="J18" s="2799" t="str">
        <f>IF(AND(J17&gt;0,J17&lt;&gt;""),IF(J16&gt;J17+0.1,"Deckungsgrad zu hoch",""),"")</f>
        <v/>
      </c>
      <c r="K18" s="698"/>
      <c r="L18" s="2801"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2484</v>
      </c>
      <c r="AN18" s="1406">
        <f>L16/100</f>
        <v>0.8</v>
      </c>
    </row>
    <row r="19" spans="1:40" s="563" customFormat="1" ht="15.95" customHeight="1">
      <c r="A19" s="1526" t="s">
        <v>420</v>
      </c>
      <c r="B19" s="665" t="str">
        <f>Uebersetzung!D262</f>
        <v>Wärmeerzeugung D</v>
      </c>
      <c r="C19" s="670"/>
      <c r="D19" s="670"/>
      <c r="E19" s="646"/>
      <c r="F19" s="646"/>
      <c r="G19" s="646"/>
      <c r="H19" s="2790"/>
      <c r="I19" s="646"/>
      <c r="J19" s="2800"/>
      <c r="K19" s="698"/>
      <c r="L19" s="2802"/>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803"/>
      <c r="C20" s="2804"/>
      <c r="D20" s="2804"/>
      <c r="E20" s="2804"/>
      <c r="F20" s="2804"/>
      <c r="G20" s="2805"/>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97">
        <f>IF(G21&gt;0,IF(Hoehe&lt;800,(440/((1/G21)+610/(EBF*(qw+qh)))/G21),(490/((1/G21)+610/(EBF*(qw+qh)))/G21)),)</f>
        <v>0</v>
      </c>
      <c r="Y20" s="2798"/>
      <c r="Z20" s="584">
        <f>IF(G21&gt;0,IF(qw&gt;0,IF(Hoehe&lt;800,(640/((1/G21)+380/(EBF*qw))/G21),(700/((1/G21)+380/(EBF*qw))/G21)),),)</f>
        <v>0</v>
      </c>
      <c r="AA20" s="571"/>
      <c r="AB20" s="569">
        <f>IF(U20,IF(G21&gt;0.5,1,0),0)</f>
        <v>0</v>
      </c>
      <c r="AC20" s="573" t="b">
        <f>INDEX(Standardwerte!$AG$108:$AG$155,M20,1)</f>
        <v>0</v>
      </c>
      <c r="AD20" s="1793" t="b">
        <f>(Q20&lt;0)</f>
        <v>0</v>
      </c>
      <c r="AE20" s="1799" t="s">
        <v>3583</v>
      </c>
      <c r="AF20" s="1799" t="s">
        <v>3583</v>
      </c>
      <c r="AG20" s="1799" t="s">
        <v>3583</v>
      </c>
      <c r="AH20" s="728"/>
      <c r="AJ20" s="1369" t="s">
        <v>2191</v>
      </c>
      <c r="AK20" s="1363">
        <f>INDEX(Standardwerte!$AP$108:$AP$155,M20,1)</f>
        <v>0</v>
      </c>
      <c r="AL20" s="1363">
        <f>IF(AND(THG_Scope1,AK21),0,IF(WirkungsgradD&gt;0,AK20*WaermebedarfD/WirkungsgradD,0))</f>
        <v>0</v>
      </c>
      <c r="AM20" s="1369" t="s">
        <v>2191</v>
      </c>
      <c r="AN20" s="1406">
        <f>IF(AND(M20=15,G21&lt;0.35),1,1-INDEX(Standardwerte!$AS$108:$AS$155,Nachweis!M20,1))</f>
        <v>1</v>
      </c>
    </row>
    <row r="21" spans="1:40" s="563" customFormat="1" ht="14.1" customHeight="1">
      <c r="A21" s="1526" t="s">
        <v>422</v>
      </c>
      <c r="B21" s="2853" t="str">
        <f>IF(INDEX(Standardwerte!$AD$108:$AD$155,M20,1)=0,"",INDEX(Standardwerte!$AD$108:$AD$155,M20,1))</f>
        <v/>
      </c>
      <c r="C21" s="2854"/>
      <c r="D21" s="2854"/>
      <c r="E21" s="2854"/>
      <c r="F21" s="1796">
        <f>IF(M20=35,IF(G21="",0,MIN(G21,5)),0)</f>
        <v>0</v>
      </c>
      <c r="G21" s="792"/>
      <c r="H21" s="2788"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4722</v>
      </c>
      <c r="AK21" s="1363">
        <f>INDEX(Standardwerte!$AV$108:$AV$155,M20,1)</f>
        <v>0</v>
      </c>
      <c r="AL21" s="1364"/>
      <c r="AM21" s="1369" t="s">
        <v>2483</v>
      </c>
      <c r="AN21" s="1406">
        <f>J20/100</f>
        <v>0</v>
      </c>
    </row>
    <row r="22" spans="1:40" s="563" customFormat="1" ht="14.1" customHeight="1">
      <c r="A22" s="1540" t="s">
        <v>423</v>
      </c>
      <c r="B22" s="2795" t="str">
        <f>IF(INDEX(Standardwerte!$AD$108:$AE$155,M20,2)=0,"",INDEX(Standardwerte!$AD$108:$AE$155,M20,2))</f>
        <v/>
      </c>
      <c r="C22" s="2796"/>
      <c r="D22" s="2796"/>
      <c r="E22" s="2796"/>
      <c r="F22" s="1797" t="str">
        <f>IF(OR(M20=35,M20=36),IF(G22="",32,MIN(G22,45)),IF(M20=33,IF(G22&gt;0,G22,X20),IF(M20=32,IF(G22&gt;0,G22,Z20),"")))</f>
        <v/>
      </c>
      <c r="G22" s="791"/>
      <c r="H22" s="2789"/>
      <c r="I22" s="650"/>
      <c r="J22" s="2799" t="str">
        <f>IF(AND(J21&gt;0,J21&lt;&gt;""),IF(J20&gt;J21+0.1,"Deckungsgrad zu hoch",""),"")</f>
        <v/>
      </c>
      <c r="K22" s="698"/>
      <c r="L22" s="2801"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2484</v>
      </c>
      <c r="AN22" s="1406">
        <f>L20/100</f>
        <v>0</v>
      </c>
    </row>
    <row r="23" spans="1:40" s="563" customFormat="1" ht="15.95" customHeight="1">
      <c r="A23" s="1526" t="s">
        <v>424</v>
      </c>
      <c r="B23" s="666" t="str">
        <f>Uebersetzung!D267</f>
        <v>Übertrag weitere Wärmeerzeugungen</v>
      </c>
      <c r="C23" s="675"/>
      <c r="D23" s="675"/>
      <c r="E23" s="646"/>
      <c r="F23" s="645"/>
      <c r="G23" s="645"/>
      <c r="H23" s="2790"/>
      <c r="I23" s="653"/>
      <c r="J23" s="2800"/>
      <c r="K23" s="698"/>
      <c r="L23" s="2802"/>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57"/>
      <c r="C24" s="2858"/>
      <c r="D24" s="2858"/>
      <c r="E24" s="2858"/>
      <c r="F24" s="2858"/>
      <c r="G24" s="2858"/>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2488</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2192</v>
      </c>
      <c r="AK25" s="1363">
        <f>THG_Strom</f>
        <v>0.13900000000000001</v>
      </c>
      <c r="AL25" s="1363">
        <f>IF(THG_Scope1,0,AK25*StrombedarfE)</f>
        <v>0</v>
      </c>
      <c r="AM25" s="1369" t="s">
        <v>2483</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2484</v>
      </c>
      <c r="AN26" s="570"/>
    </row>
    <row r="27" spans="1:40" s="563" customFormat="1" ht="15.95" customHeight="1">
      <c r="A27" s="1526" t="s">
        <v>2848</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2193</v>
      </c>
      <c r="AK27" s="1363">
        <f>THG_andere</f>
        <v>0.249</v>
      </c>
      <c r="AL27" s="1363">
        <f>EndenergieE*AK27</f>
        <v>0</v>
      </c>
      <c r="AM27" s="1369" t="s">
        <v>2484</v>
      </c>
      <c r="AN27" s="1406">
        <f>L24/100</f>
        <v>0</v>
      </c>
    </row>
    <row r="28" spans="1:40" ht="15.95" customHeight="1">
      <c r="B28" s="25"/>
      <c r="C28" s="25"/>
      <c r="D28" s="25"/>
      <c r="E28" s="25"/>
      <c r="F28" s="25"/>
      <c r="G28" s="25"/>
      <c r="H28" s="27"/>
      <c r="I28" s="2859" t="str">
        <f>IF(EBF_MUKEN&gt;0,IF(OR(DeckungsgradHeizung&lt;99.5,DeckungsgradHeizung&gt;100.5,AND(DeckungsgradWW&lt;99.5,qw&gt;0),AND(DeckungsgradWW&gt;100.5,qw&gt;0)),Uebersetzung!D308,),"")</f>
        <v/>
      </c>
      <c r="J28" s="2859"/>
      <c r="K28" s="2859"/>
      <c r="L28" s="2859"/>
      <c r="P28" s="1368" t="s">
        <v>2205</v>
      </c>
      <c r="Q28" s="1376">
        <f>SUMIF(AD8:AD20,TRUE,Q8:Q20)</f>
        <v>0</v>
      </c>
      <c r="R28" s="5" t="s">
        <v>2204</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2849</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2194</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2850</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3562</v>
      </c>
      <c r="O43" s="5"/>
      <c r="P43" s="5"/>
      <c r="AJ43" s="1366" t="s">
        <v>2195</v>
      </c>
      <c r="AK43" s="1361">
        <f>-THG_PV</f>
        <v>-0.13900000000000001</v>
      </c>
      <c r="AL43" s="1361">
        <f>IF(THG_Scope1,0,IF(EBF&gt;0,AK43*MINERGIE!E117*MINERGIE!G117*(1-MINERGIE!I117)/EBF,0))</f>
        <v>0</v>
      </c>
      <c r="AM43" s="1368" t="s">
        <v>2494</v>
      </c>
      <c r="AN43" s="1406">
        <f>IF(AN7&gt;0,AN9*AN8+AN13*AN12+AN17*AN16+AN21*AN20+AN25*AN24,1)</f>
        <v>1</v>
      </c>
    </row>
    <row r="44" spans="1:42" ht="20.100000000000001" customHeight="1">
      <c r="A44" s="1541" t="s">
        <v>2851</v>
      </c>
      <c r="B44" s="1291" t="str">
        <f>IF(bern,Uebersetzung!D703,Uebersetzung!D361)</f>
        <v>Grenzwert für Minergie-Kennzahl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2196</v>
      </c>
      <c r="AK44" s="1365">
        <f>THG_Strom</f>
        <v>0.13900000000000001</v>
      </c>
      <c r="AL44" s="1365">
        <f>IF(THG_Scope1,0,(MINERGIE!S75-MINERGIE!S15-MINERGIE!S18+MINERGIE!S72)/2*AK44)</f>
        <v>0</v>
      </c>
      <c r="AM44" s="1368" t="s">
        <v>2493</v>
      </c>
      <c r="AN44" s="1406">
        <f>IF(AN7&gt;0,AN10*AN8+AN14*AN12+AN18*AN16+AN22*AN20+AN27*AN24,1)</f>
        <v>1</v>
      </c>
    </row>
    <row r="45" spans="1:42" ht="21.95" customHeight="1">
      <c r="A45" s="1532"/>
      <c r="B45" s="926" t="str">
        <f>Uebersetzung!D280</f>
        <v>Wärmeerzeugung:</v>
      </c>
      <c r="C45" s="682"/>
      <c r="D45" s="682"/>
      <c r="E45" s="219" t="s">
        <v>242</v>
      </c>
      <c r="F45" s="2860" t="str">
        <f>Uebersetzung!D283</f>
        <v>Gewich-tung</v>
      </c>
      <c r="G45" s="2808" t="str">
        <f>Uebersetzung!D284</f>
        <v>Deckungsgrad</v>
      </c>
      <c r="H45" s="2809"/>
      <c r="I45" s="2862" t="str">
        <f>Uebersetzung!D285</f>
        <v>gew. Endenergie kWh/m2</v>
      </c>
      <c r="J45" s="2863"/>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861"/>
      <c r="G46" s="218" t="str">
        <f>J7</f>
        <v>Heizung</v>
      </c>
      <c r="H46" s="130" t="str">
        <f>L7</f>
        <v>Warmwasser</v>
      </c>
      <c r="I46" s="130" t="str">
        <f>Uebersetzung!D286</f>
        <v>Strom</v>
      </c>
      <c r="J46" s="130" t="str">
        <f>Uebersetzung!D287</f>
        <v>andere</v>
      </c>
      <c r="K46" s="103"/>
      <c r="L46" s="221" t="s">
        <v>160</v>
      </c>
      <c r="N46" s="717" t="s">
        <v>1822</v>
      </c>
      <c r="O46" s="1104" t="s">
        <v>1823</v>
      </c>
      <c r="R46" s="1776" t="s">
        <v>3571</v>
      </c>
    </row>
    <row r="47" spans="1:42" ht="15.95" customHeight="1">
      <c r="A47" s="1532" t="s">
        <v>2852</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2853</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2854</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2855</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2856</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2857</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2858</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2859</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807"/>
      <c r="H55" s="2807"/>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830" t="str">
        <f>Uebersetzung!D294</f>
        <v>Anforderung</v>
      </c>
      <c r="H56" s="2864"/>
      <c r="I56" s="2830" t="str">
        <f>Uebersetzung!D295</f>
        <v>Berechneter Wert</v>
      </c>
      <c r="J56" s="2831"/>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Grenzwert</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839" t="str">
        <f>Uebersetzung!D478</f>
        <v>Minergie-Kennzahl (MKZ)</v>
      </c>
      <c r="C59" s="2840"/>
      <c r="D59" s="2840"/>
      <c r="E59" s="2840"/>
      <c r="F59" s="2841"/>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5160</v>
      </c>
    </row>
    <row r="60" spans="1:40" ht="20.100000000000001" customHeight="1">
      <c r="A60" s="1541" t="s">
        <v>2860</v>
      </c>
      <c r="B60" s="2545" t="str">
        <f>IF(MUKEN,Uebersetzung!D307,Uebersetzung!D724)</f>
        <v>Warmwasser mit mindestens 20% erneuerbarer Energie erzeugt (für Restaurants / Sportbauten / Hallenbäder)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865"/>
      <c r="C62" s="2866"/>
      <c r="D62" s="2866"/>
      <c r="E62" s="2866"/>
      <c r="F62" s="2866"/>
      <c r="G62" s="2866"/>
      <c r="H62" s="151"/>
      <c r="I62" s="151"/>
      <c r="J62" s="151"/>
      <c r="K62" s="151"/>
      <c r="L62" s="603"/>
      <c r="M62" s="1535"/>
    </row>
    <row r="63" spans="1:40" ht="18.95" customHeight="1">
      <c r="A63" s="1532" t="s">
        <v>2861</v>
      </c>
      <c r="B63" s="895" t="s">
        <v>775</v>
      </c>
      <c r="C63" s="2822" t="str">
        <f>Uebersetzung!D303</f>
        <v>Schema Heizung und Lüftung</v>
      </c>
      <c r="D63" s="2822"/>
      <c r="E63" s="2822"/>
      <c r="F63" s="2822"/>
      <c r="G63" s="895"/>
      <c r="H63" s="2832"/>
      <c r="I63" s="2832"/>
      <c r="J63" s="2832"/>
      <c r="K63" s="2832"/>
      <c r="L63" s="2833"/>
      <c r="M63" s="1535"/>
      <c r="N63" s="751" t="s">
        <v>3795</v>
      </c>
      <c r="O63" s="416"/>
      <c r="P63" s="1845" t="b">
        <f>AND(AND(DeckungsgradHeizung&gt;99.8,DeckungsgradHeizung&lt;100.2),IF(qw&gt;0,AND(DeckungsgradWW&gt;99.8,DeckungsgradWW&lt;100.2),TRUE))</f>
        <v>0</v>
      </c>
    </row>
    <row r="64" spans="1:40" ht="18.95" customHeight="1">
      <c r="A64" s="1532" t="s">
        <v>2862</v>
      </c>
      <c r="B64" s="896" t="s">
        <v>775</v>
      </c>
      <c r="C64" s="2867" t="str">
        <f>Uebersetzung!D304</f>
        <v>Externe Berechnungen und Datenblätter</v>
      </c>
      <c r="D64" s="2867"/>
      <c r="E64" s="2867"/>
      <c r="F64" s="2867"/>
      <c r="G64" s="896"/>
      <c r="H64" s="2823"/>
      <c r="I64" s="2823"/>
      <c r="J64" s="2823"/>
      <c r="K64" s="2823"/>
      <c r="L64" s="2824"/>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27" t="s">
        <v>772</v>
      </c>
      <c r="C66" s="2828"/>
      <c r="D66" s="2828"/>
      <c r="E66" s="2828"/>
      <c r="F66" s="2828"/>
      <c r="G66" s="2829"/>
      <c r="H66" s="128"/>
      <c r="I66" s="8" t="s">
        <v>759</v>
      </c>
      <c r="J66" s="8"/>
      <c r="K66" s="8"/>
      <c r="L66" s="641"/>
      <c r="M66" s="1535"/>
    </row>
    <row r="67" spans="1:13" ht="18.95" hidden="1" customHeight="1">
      <c r="A67" s="1532" t="s">
        <v>428</v>
      </c>
      <c r="B67" s="2785"/>
      <c r="C67" s="2786"/>
      <c r="D67" s="2786"/>
      <c r="E67" s="2786"/>
      <c r="F67" s="2786"/>
      <c r="G67" s="2787"/>
      <c r="H67" s="128"/>
      <c r="I67" s="8"/>
      <c r="J67" s="8"/>
      <c r="K67" s="8"/>
      <c r="L67" s="641"/>
      <c r="M67" s="1535"/>
    </row>
    <row r="68" spans="1:13" ht="20.100000000000001" hidden="1" customHeight="1">
      <c r="A68" s="1532" t="s">
        <v>429</v>
      </c>
      <c r="B68" s="2785" t="s">
        <v>760</v>
      </c>
      <c r="C68" s="2786"/>
      <c r="D68" s="2786"/>
      <c r="E68" s="2786"/>
      <c r="F68" s="2786"/>
      <c r="G68" s="2787"/>
      <c r="H68" s="150"/>
      <c r="I68" s="2825"/>
      <c r="J68" s="2825"/>
      <c r="K68" s="2825"/>
      <c r="L68" s="2826"/>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16"/>
      <c r="E74" s="2817"/>
      <c r="F74" s="2817"/>
      <c r="G74" s="2818"/>
      <c r="H74" s="2816"/>
      <c r="I74" s="2817"/>
      <c r="J74" s="2817"/>
      <c r="K74" s="2817"/>
      <c r="L74" s="2817"/>
      <c r="M74" s="1535"/>
    </row>
    <row r="75" spans="1:13" ht="12.75" hidden="1" customHeight="1">
      <c r="A75" s="1532"/>
      <c r="B75" s="609" t="s">
        <v>766</v>
      </c>
      <c r="C75" s="609"/>
      <c r="D75" s="2816"/>
      <c r="E75" s="2817"/>
      <c r="F75" s="2817"/>
      <c r="G75" s="2818"/>
      <c r="H75" s="2816"/>
      <c r="I75" s="2817"/>
      <c r="J75" s="2817"/>
      <c r="K75" s="2817"/>
      <c r="L75" s="2817"/>
      <c r="M75" s="1535"/>
    </row>
    <row r="76" spans="1:13" ht="12.75" hidden="1" customHeight="1">
      <c r="B76" s="605"/>
      <c r="C76" s="605"/>
      <c r="D76" s="2819"/>
      <c r="E76" s="2820"/>
      <c r="F76" s="2820"/>
      <c r="G76" s="2821"/>
      <c r="H76" s="2819"/>
      <c r="I76" s="2820"/>
      <c r="J76" s="2820"/>
      <c r="K76" s="2820"/>
      <c r="L76" s="2820"/>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819"/>
      <c r="E78" s="2820"/>
      <c r="F78" s="2820"/>
      <c r="G78" s="2821"/>
      <c r="H78" s="2819"/>
      <c r="I78" s="2820"/>
      <c r="J78" s="2820"/>
      <c r="K78" s="2820"/>
      <c r="L78" s="2820"/>
      <c r="M78" s="1535"/>
    </row>
    <row r="79" spans="1:13" ht="18" hidden="1" customHeight="1">
      <c r="A79" s="1532"/>
      <c r="B79" s="609" t="s">
        <v>768</v>
      </c>
      <c r="C79" s="609"/>
      <c r="D79" s="2810"/>
      <c r="E79" s="2811"/>
      <c r="F79" s="2811"/>
      <c r="G79" s="2812"/>
      <c r="H79" s="2810"/>
      <c r="I79" s="2811"/>
      <c r="J79" s="2811"/>
      <c r="K79" s="2811"/>
      <c r="L79" s="2811"/>
      <c r="M79" s="1535"/>
    </row>
    <row r="80" spans="1:13" ht="0.95" hidden="1" customHeight="1">
      <c r="A80" s="1532"/>
      <c r="B80" s="605"/>
      <c r="C80" s="605"/>
      <c r="D80" s="2813"/>
      <c r="E80" s="2814"/>
      <c r="F80" s="2814"/>
      <c r="G80" s="2815"/>
      <c r="H80" s="2813"/>
      <c r="I80" s="2814"/>
      <c r="J80" s="2814"/>
      <c r="K80" s="2814"/>
      <c r="L80" s="2814"/>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704"/>
      <c r="I82" s="2704"/>
      <c r="J82" s="2704"/>
      <c r="K82" s="2704"/>
      <c r="L82" s="2704"/>
      <c r="M82" s="1535"/>
    </row>
    <row r="83" spans="1:13" ht="3" hidden="1" customHeight="1">
      <c r="A83" s="1532"/>
      <c r="B83" s="610"/>
      <c r="C83" s="610"/>
      <c r="D83" s="610"/>
      <c r="E83" s="610"/>
      <c r="F83" s="610"/>
      <c r="G83" s="610"/>
      <c r="H83" s="610"/>
      <c r="I83" s="610"/>
      <c r="J83" s="610"/>
      <c r="K83" s="610"/>
      <c r="L83" s="610"/>
    </row>
    <row r="84" spans="1:13" ht="9.9499999999999993" customHeight="1">
      <c r="B84" s="2806">
        <f ca="1">NOW()</f>
        <v>46034.719198842591</v>
      </c>
      <c r="C84" s="2806"/>
      <c r="D84" s="2806"/>
      <c r="L84" s="779" t="str">
        <f>Eingaben!C8&amp;" / "&amp;Eingaben!C7&amp;" / "&amp;Eingaben!H7&amp;" / "&amp;Eingaben!J7&amp;" / "&amp;Eingaben!J8&amp;" / "&amp;Eingaben!G55&amp;" / "&amp;Eingaben!G57</f>
        <v xml:space="preserve"> /  /  /  /  /  / </v>
      </c>
    </row>
    <row r="86" spans="1:13" hidden="1">
      <c r="B86" s="751" t="s">
        <v>1825</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839" t="s">
        <v>1690</v>
      </c>
      <c r="C87" s="2840"/>
      <c r="D87" s="2840"/>
      <c r="E87" s="2840"/>
      <c r="F87" s="2841"/>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A44">
    <cfRule type="expression" dxfId="147" priority="30">
      <formula>OR(MUKEN)</formula>
    </cfRule>
  </conditionalFormatting>
  <conditionalFormatting sqref="A59">
    <cfRule type="expression" dxfId="146" priority="32">
      <formula>OR(MUKEN,bern)</formula>
    </cfRule>
  </conditionalFormatting>
  <conditionalFormatting sqref="A63:A64">
    <cfRule type="expression" dxfId="145" priority="33">
      <formula>AND(MUKEN=FALSE,bern=FALSE)</formula>
    </cfRule>
  </conditionalFormatting>
  <conditionalFormatting sqref="A60:L60">
    <cfRule type="expression" dxfId="144" priority="2">
      <formula>OR(AND(MUKEN=FALSE,bern=FALSE),$O$60)</formula>
    </cfRule>
  </conditionalFormatting>
  <conditionalFormatting sqref="B35">
    <cfRule type="expression" dxfId="143" priority="48">
      <formula>qw=0</formula>
    </cfRule>
  </conditionalFormatting>
  <conditionalFormatting sqref="B87:J87">
    <cfRule type="expression" dxfId="142" priority="44">
      <formula>MUKEN=TRUE</formula>
    </cfRule>
  </conditionalFormatting>
  <conditionalFormatting sqref="B44:L44">
    <cfRule type="expression" dxfId="141" priority="42">
      <formula>OR(MUKEN)</formula>
    </cfRule>
  </conditionalFormatting>
  <conditionalFormatting sqref="B59:L59">
    <cfRule type="expression" dxfId="140" priority="38">
      <formula>OR(MUKEN,bern)</formula>
    </cfRule>
  </conditionalFormatting>
  <conditionalFormatting sqref="B60:L60">
    <cfRule type="expression" dxfId="139" priority="1">
      <formula>AND(OR(MUKEN,bern),$O$60=FALSE)</formula>
    </cfRule>
  </conditionalFormatting>
  <conditionalFormatting sqref="B61:L61">
    <cfRule type="expression" dxfId="138" priority="7">
      <formula>OR(MUKEN,bern)</formula>
    </cfRule>
    <cfRule type="expression" dxfId="137" priority="8">
      <formula>OR(bern=FALSE,MUKEN=FALSE)</formula>
    </cfRule>
  </conditionalFormatting>
  <conditionalFormatting sqref="B61:L64">
    <cfRule type="expression" dxfId="136" priority="35">
      <formula>AND(bern=FALSE,MUKEN=FALSE)</formula>
    </cfRule>
  </conditionalFormatting>
  <conditionalFormatting sqref="B63:L63">
    <cfRule type="expression" dxfId="135" priority="6">
      <formula>OR(bern=FALSE,MUKEN=FALSE)</formula>
    </cfRule>
  </conditionalFormatting>
  <conditionalFormatting sqref="F35">
    <cfRule type="expression" dxfId="134" priority="47">
      <formula>qw=0</formula>
    </cfRule>
  </conditionalFormatting>
  <conditionalFormatting sqref="F86">
    <cfRule type="expression" dxfId="133" priority="41">
      <formula>qw=0</formula>
    </cfRule>
  </conditionalFormatting>
  <conditionalFormatting sqref="G9">
    <cfRule type="expression" dxfId="132" priority="574">
      <formula>AND(B9&lt;&gt;"",M9&lt;2)</formula>
    </cfRule>
  </conditionalFormatting>
  <conditionalFormatting sqref="G10">
    <cfRule type="expression" dxfId="131" priority="295">
      <formula>B10&lt;&gt;""</formula>
    </cfRule>
  </conditionalFormatting>
  <conditionalFormatting sqref="G13">
    <cfRule type="expression" dxfId="130" priority="28">
      <formula>AND(B13&lt;&gt;"",M13&lt;2)</formula>
    </cfRule>
  </conditionalFormatting>
  <conditionalFormatting sqref="G14">
    <cfRule type="expression" dxfId="129" priority="293">
      <formula>B14&lt;&gt;""</formula>
    </cfRule>
  </conditionalFormatting>
  <conditionalFormatting sqref="G17">
    <cfRule type="expression" dxfId="128" priority="27">
      <formula>AND(B17&lt;&gt;"",M17&lt;2)</formula>
    </cfRule>
  </conditionalFormatting>
  <conditionalFormatting sqref="G18">
    <cfRule type="expression" dxfId="127" priority="297">
      <formula>B18&lt;&gt;""</formula>
    </cfRule>
  </conditionalFormatting>
  <conditionalFormatting sqref="G21">
    <cfRule type="expression" dxfId="126" priority="29">
      <formula>AND(B21&lt;&gt;"",M21&lt;2)</formula>
    </cfRule>
  </conditionalFormatting>
  <conditionalFormatting sqref="G22">
    <cfRule type="expression" dxfId="125" priority="298">
      <formula>B22&lt;&gt;""</formula>
    </cfRule>
  </conditionalFormatting>
  <conditionalFormatting sqref="J8">
    <cfRule type="expression" dxfId="124" priority="81">
      <formula>$S$8=1</formula>
    </cfRule>
  </conditionalFormatting>
  <conditionalFormatting sqref="J12">
    <cfRule type="expression" dxfId="123" priority="79">
      <formula>$S$12=1</formula>
    </cfRule>
  </conditionalFormatting>
  <conditionalFormatting sqref="J16">
    <cfRule type="expression" dxfId="122" priority="77">
      <formula>$S$16=1</formula>
    </cfRule>
  </conditionalFormatting>
  <conditionalFormatting sqref="J20">
    <cfRule type="expression" dxfId="121" priority="75">
      <formula>$S$20=1</formula>
    </cfRule>
  </conditionalFormatting>
  <conditionalFormatting sqref="J27">
    <cfRule type="expression" dxfId="120" priority="82">
      <formula>AND(EBF_MUKEN&gt;0,OR($J$27&lt;99.8,$J$27&gt;100.2))</formula>
    </cfRule>
    <cfRule type="expression" dxfId="119" priority="83">
      <formula>AND($J$27&gt;=99.8,$J$27&lt;=100.2)</formula>
    </cfRule>
  </conditionalFormatting>
  <conditionalFormatting sqref="L8">
    <cfRule type="expression" dxfId="118" priority="80">
      <formula>AND($T$8=1,qw&gt;0)</formula>
    </cfRule>
  </conditionalFormatting>
  <conditionalFormatting sqref="L8:L19">
    <cfRule type="expression" dxfId="117" priority="11">
      <formula>qw=0</formula>
    </cfRule>
  </conditionalFormatting>
  <conditionalFormatting sqref="L12">
    <cfRule type="expression" dxfId="116" priority="78">
      <formula>AND($T$12=1,qw&gt;0)</formula>
    </cfRule>
  </conditionalFormatting>
  <conditionalFormatting sqref="L16">
    <cfRule type="expression" dxfId="115" priority="76">
      <formula>AND($T$16=1,qw&gt;0)</formula>
    </cfRule>
  </conditionalFormatting>
  <conditionalFormatting sqref="L20">
    <cfRule type="expression" dxfId="114" priority="52">
      <formula>qw=0</formula>
    </cfRule>
    <cfRule type="expression" dxfId="113" priority="74">
      <formula>AND($T$20=1,qw&gt;0)</formula>
    </cfRule>
  </conditionalFormatting>
  <conditionalFormatting sqref="L21:L24">
    <cfRule type="expression" dxfId="112" priority="24">
      <formula>qw=0</formula>
    </cfRule>
  </conditionalFormatting>
  <conditionalFormatting sqref="L27">
    <cfRule type="expression" dxfId="111" priority="49">
      <formula>qw=0</formula>
    </cfRule>
    <cfRule type="expression" dxfId="110" priority="72">
      <formula>OR($L$27&lt;99.8,$L$27&gt;100.2)</formula>
    </cfRule>
    <cfRule type="expression" dxfId="109" priority="73">
      <formula>AND($L$27&gt;=99.8,$L$27&lt;=100.2)</formula>
    </cfRule>
  </conditionalFormatting>
  <conditionalFormatting sqref="L58:L59">
    <cfRule type="cellIs" dxfId="108" priority="39" stopIfTrue="1" operator="equal">
      <formula>$O$2</formula>
    </cfRule>
    <cfRule type="cellIs" dxfId="107" priority="40" stopIfTrue="1" operator="equal">
      <formula>$O$3</formula>
    </cfRule>
  </conditionalFormatting>
  <conditionalFormatting sqref="L59">
    <cfRule type="expression" dxfId="106" priority="37">
      <formula>MUKEN=TRUE</formula>
    </cfRule>
  </conditionalFormatting>
  <conditionalFormatting sqref="L60">
    <cfRule type="expression" dxfId="105" priority="61">
      <formula>OR($L$60="",$N$59=FALSE)</formula>
    </cfRule>
  </conditionalFormatting>
  <conditionalFormatting sqref="L87">
    <cfRule type="expression" dxfId="104" priority="43">
      <formula>MUKEN=TRUE</formula>
    </cfRule>
    <cfRule type="cellIs" dxfId="103" priority="45" stopIfTrue="1" operator="equal">
      <formula>$O$2</formula>
    </cfRule>
    <cfRule type="cellIs" dxfId="102" priority="46" stopIfTrue="1" operator="equal">
      <formula>$O$3</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v2.97</v>
      </c>
      <c r="C1" s="5"/>
      <c r="D1" s="5"/>
      <c r="E1" s="5"/>
      <c r="F1" s="5"/>
      <c r="G1" s="5"/>
      <c r="H1" s="5"/>
      <c r="I1" s="5"/>
      <c r="J1" s="5"/>
      <c r="K1" s="5"/>
      <c r="L1" s="779"/>
      <c r="M1" s="779" t="str">
        <f>Eingaben!K1</f>
        <v>Formular EN101b, v2.97, zu verwenden bis 31. Dezember 2026</v>
      </c>
      <c r="N1" s="1528"/>
    </row>
    <row r="2" spans="1:23" ht="13.15" customHeight="1">
      <c r="B2" s="1680"/>
      <c r="C2" s="820"/>
      <c r="D2" s="820"/>
      <c r="E2" s="820"/>
      <c r="F2" s="820"/>
      <c r="G2" s="1681"/>
      <c r="H2" s="2905" t="str">
        <f>IF(bern,Uebersetzung!D710,Uebersetzung!D320)</f>
        <v>Sommerlicher Wärmeschutz im Minergie-Standard</v>
      </c>
      <c r="I2" s="2906"/>
      <c r="J2" s="2906"/>
      <c r="K2" s="2906"/>
      <c r="L2" s="2906"/>
      <c r="M2" s="2907"/>
      <c r="N2" s="1528"/>
    </row>
    <row r="3" spans="1:23" ht="20.25">
      <c r="B3" s="2456">
        <f>IF(MUKEN,1,0)</f>
        <v>1</v>
      </c>
      <c r="C3" s="143">
        <f>IF(OR(MUKEN,bern),0,1)</f>
        <v>0</v>
      </c>
      <c r="D3" s="2455">
        <f>IF(bern,1,0)</f>
        <v>0</v>
      </c>
      <c r="E3" s="42"/>
      <c r="F3" s="2842"/>
      <c r="G3" s="2645"/>
      <c r="H3" s="2908"/>
      <c r="I3" s="2909"/>
      <c r="J3" s="2909"/>
      <c r="K3" s="2909"/>
      <c r="L3" s="2909"/>
      <c r="M3" s="2910"/>
      <c r="N3" s="1528"/>
    </row>
    <row r="4" spans="1:23" ht="13.9" customHeight="1">
      <c r="B4" s="94"/>
      <c r="C4" s="60"/>
      <c r="D4" s="60"/>
      <c r="E4" s="60"/>
      <c r="F4" s="60"/>
      <c r="G4" s="116"/>
      <c r="H4" s="2911"/>
      <c r="I4" s="2912"/>
      <c r="J4" s="2912"/>
      <c r="K4" s="2912"/>
      <c r="L4" s="2912"/>
      <c r="M4" s="2913"/>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3261</v>
      </c>
      <c r="B7" s="2914" t="str">
        <f>IF(Projekt1="","",Projekt1)</f>
        <v/>
      </c>
      <c r="C7" s="2915"/>
      <c r="D7" s="2915"/>
      <c r="E7" s="2915"/>
      <c r="F7" s="2915"/>
      <c r="G7" s="2915"/>
      <c r="H7" s="2915"/>
      <c r="I7" s="2915"/>
      <c r="J7" s="2915"/>
      <c r="K7" s="2915"/>
      <c r="L7" s="2915"/>
      <c r="M7" s="2916"/>
      <c r="N7" s="1528"/>
      <c r="O7" s="1018"/>
      <c r="P7" s="1018"/>
      <c r="Q7" s="1018"/>
      <c r="R7" s="1018"/>
      <c r="S7" s="1018"/>
    </row>
    <row r="8" spans="1:23" ht="15" hidden="1" customHeight="1">
      <c r="B8" s="2917"/>
      <c r="C8" s="2918"/>
      <c r="D8" s="2918"/>
      <c r="E8" s="2918"/>
      <c r="F8" s="2918"/>
      <c r="G8" s="2918"/>
      <c r="H8" s="2918"/>
      <c r="I8" s="2918"/>
      <c r="J8" s="2918"/>
      <c r="K8" s="2918"/>
      <c r="L8" s="2918"/>
      <c r="M8" s="2919"/>
      <c r="N8" s="1528"/>
      <c r="O8" s="1018"/>
      <c r="P8" s="1018"/>
      <c r="Q8" s="1018"/>
      <c r="R8" s="1018"/>
      <c r="S8" s="1018"/>
    </row>
    <row r="9" spans="1:23" ht="24.95" customHeight="1">
      <c r="A9" s="1528" t="s">
        <v>3262</v>
      </c>
      <c r="B9" s="2901" t="str">
        <f>IF(Projekt4="","",Projekt4)</f>
        <v/>
      </c>
      <c r="C9" s="2902"/>
      <c r="D9" s="2902"/>
      <c r="E9" s="2902"/>
      <c r="F9" s="2902"/>
      <c r="G9" s="2902"/>
      <c r="H9" s="2902"/>
      <c r="I9" s="2902"/>
      <c r="J9" s="2902"/>
      <c r="K9" s="2902"/>
      <c r="L9" s="2902"/>
      <c r="M9" s="2903"/>
      <c r="N9" s="1528"/>
      <c r="O9" s="1015"/>
      <c r="P9" s="1018"/>
      <c r="Q9" s="1015"/>
      <c r="R9" s="1015"/>
      <c r="S9" s="1015"/>
    </row>
    <row r="10" spans="1:23" ht="39.950000000000003" customHeight="1">
      <c r="A10" s="1528" t="s">
        <v>3443</v>
      </c>
      <c r="B10" s="2904" t="str">
        <f>Uebersetzung!D322</f>
        <v>Variante 1: Globalbeurteilung von Standardfällen für die Nutzungen Wohnen, Einzelbüro, Gruppenbüro, Sitzungszimmer und Lager (ohne Kühlung)</v>
      </c>
      <c r="C10" s="2904"/>
      <c r="D10" s="2904"/>
      <c r="E10" s="2904"/>
      <c r="F10" s="2904"/>
      <c r="G10" s="2904"/>
      <c r="H10" s="2904"/>
      <c r="I10" s="2904"/>
      <c r="J10" s="2904"/>
      <c r="K10" s="2904"/>
      <c r="L10" s="2904"/>
      <c r="M10" s="1676"/>
      <c r="N10" s="1528"/>
      <c r="O10" s="1015"/>
      <c r="P10" s="1018"/>
      <c r="Q10" s="1015"/>
      <c r="R10" s="1015"/>
      <c r="S10" s="1015"/>
    </row>
    <row r="11" spans="1:23" ht="15" customHeight="1">
      <c r="B11" s="2938" t="str">
        <f>Uebersetzung!D323</f>
        <v>Die Globalbeurteilung gilt für Zonen in denen in allen Räumen folgende Bedingungen eingehalten sind:</v>
      </c>
      <c r="C11" s="2939"/>
      <c r="D11" s="2939"/>
      <c r="E11" s="2939"/>
      <c r="F11" s="2939"/>
      <c r="G11" s="2939"/>
      <c r="H11" s="2939"/>
      <c r="I11" s="2939"/>
      <c r="J11" s="2939"/>
      <c r="K11" s="2939"/>
      <c r="L11" s="2939"/>
      <c r="M11" s="2940"/>
      <c r="N11" s="1528"/>
      <c r="O11" s="1019"/>
      <c r="P11" s="1019"/>
      <c r="Q11" s="1019"/>
      <c r="R11" s="1055">
        <v>1</v>
      </c>
      <c r="S11" s="1327">
        <v>1</v>
      </c>
    </row>
    <row r="12" spans="1:23" ht="15" customHeight="1">
      <c r="A12" s="1530"/>
      <c r="B12" s="2948" t="str">
        <f>Uebersetzung!D537</f>
        <v>- Keine Oblichter</v>
      </c>
      <c r="C12" s="2949"/>
      <c r="D12" s="2949"/>
      <c r="E12" s="2949"/>
      <c r="F12" s="2949"/>
      <c r="G12" s="2949"/>
      <c r="H12" s="2949"/>
      <c r="I12" s="2949"/>
      <c r="J12" s="2949"/>
      <c r="K12" s="2949"/>
      <c r="L12" s="2949"/>
      <c r="M12" s="2950"/>
      <c r="N12" s="1528"/>
      <c r="O12" s="1689" t="str">
        <f>Uebersetzung!D27</f>
        <v>n.a.</v>
      </c>
      <c r="P12" s="1685" t="str">
        <f>O12</f>
        <v>n.a.</v>
      </c>
      <c r="Q12" s="1685" t="str">
        <f>Uebersetzung!D350</f>
        <v>Rollläden</v>
      </c>
      <c r="R12" s="1021">
        <v>2</v>
      </c>
      <c r="S12" s="1022">
        <v>4</v>
      </c>
    </row>
    <row r="13" spans="1:23" ht="15" customHeight="1">
      <c r="B13" s="2948" t="str">
        <f>Uebersetzung!D538</f>
        <v>- Aussen liegender beweglicher Sonnenschutz mit Rolläden oder Rafflamellenstoren (g-Wert-total max 0.1)</v>
      </c>
      <c r="C13" s="2949"/>
      <c r="D13" s="2949"/>
      <c r="E13" s="2949"/>
      <c r="F13" s="2949"/>
      <c r="G13" s="2949"/>
      <c r="H13" s="2949"/>
      <c r="I13" s="2949"/>
      <c r="J13" s="2949"/>
      <c r="K13" s="2949"/>
      <c r="L13" s="2949"/>
      <c r="M13" s="2950"/>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951" t="str">
        <f>Uebersetzung!D327</f>
        <v>- interne Wärmelasten nicht höher als die Standardwerte im Merkblatt SIA 2024.</v>
      </c>
      <c r="C15" s="2952"/>
      <c r="D15" s="2952"/>
      <c r="E15" s="2952"/>
      <c r="F15" s="2952"/>
      <c r="G15" s="2952"/>
      <c r="H15" s="2952"/>
      <c r="I15" s="2952"/>
      <c r="J15" s="2952"/>
      <c r="K15" s="2952"/>
      <c r="L15" s="2952"/>
      <c r="M15" s="2953"/>
      <c r="N15" s="1528"/>
      <c r="O15" s="1026"/>
      <c r="P15" s="1026"/>
      <c r="Q15" s="1026" t="str">
        <f>Uebersetzung!D353</f>
        <v>andere</v>
      </c>
      <c r="R15" s="1055">
        <v>5</v>
      </c>
      <c r="S15" s="1015"/>
    </row>
    <row r="16" spans="1:23" ht="17.100000000000001" customHeight="1">
      <c r="B16" s="2941" t="str">
        <f>Uebersetzung!D558</f>
        <v>- Windfestigkeit des aussenliegenden beweglichen Sonnenschutzes mindestens Windwiderstandsklasse 5</v>
      </c>
      <c r="C16" s="2942"/>
      <c r="D16" s="2942"/>
      <c r="E16" s="2942"/>
      <c r="F16" s="2942"/>
      <c r="G16" s="2942"/>
      <c r="H16" s="2942"/>
      <c r="I16" s="2942"/>
      <c r="J16" s="2942"/>
      <c r="K16" s="2942"/>
      <c r="L16" s="2942"/>
      <c r="M16" s="2943"/>
      <c r="N16" s="1528"/>
      <c r="O16" s="1019"/>
      <c r="P16" s="1019"/>
      <c r="Q16" s="1019"/>
      <c r="R16" s="1019"/>
      <c r="S16" s="1015"/>
      <c r="T16" s="1686" t="s">
        <v>1721</v>
      </c>
      <c r="U16" s="1027"/>
      <c r="V16" s="1027"/>
      <c r="W16" s="1687"/>
    </row>
    <row r="17" spans="1:23" ht="20.100000000000001" customHeight="1">
      <c r="B17" s="1739"/>
      <c r="C17" s="1746"/>
      <c r="D17" s="1746"/>
      <c r="E17" s="1746"/>
      <c r="F17" s="1746"/>
      <c r="G17" s="1746"/>
      <c r="H17" s="1747" t="s">
        <v>1722</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922" t="s">
        <v>3263</v>
      </c>
      <c r="B19" s="2923" t="str">
        <f>Uebersetzung!D329</f>
        <v>Aussenliegender beweglicher Sonnenschutz. Bei "andere" hier deklarieren:</v>
      </c>
      <c r="C19" s="2924"/>
      <c r="D19" s="2924"/>
      <c r="E19" s="2924"/>
      <c r="F19" s="2924"/>
      <c r="G19" s="2924"/>
      <c r="H19" s="2925"/>
      <c r="I19" s="2926"/>
      <c r="J19" s="2926"/>
      <c r="K19" s="2926"/>
      <c r="L19" s="2928"/>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922"/>
      <c r="B20" s="2930"/>
      <c r="C20" s="2931"/>
      <c r="D20" s="2931"/>
      <c r="E20" s="2931"/>
      <c r="F20" s="2931"/>
      <c r="G20" s="2931"/>
      <c r="H20" s="1697"/>
      <c r="I20" s="2927"/>
      <c r="J20" s="2927"/>
      <c r="K20" s="2927"/>
      <c r="L20" s="2929"/>
      <c r="M20" s="1718"/>
      <c r="N20" s="1528"/>
      <c r="O20" s="128"/>
      <c r="P20" s="1065"/>
      <c r="Q20" s="1065"/>
      <c r="R20" s="1717"/>
      <c r="S20" s="1716"/>
      <c r="T20" s="1715"/>
      <c r="U20" s="1714"/>
      <c r="V20" s="1714"/>
      <c r="W20" s="1713"/>
    </row>
    <row r="21" spans="1:23" ht="18" customHeight="1">
      <c r="A21" s="1528" t="s">
        <v>1733</v>
      </c>
      <c r="B21" s="2898" t="str">
        <f>Uebersetzung!D530</f>
        <v>Wohnen (EFH, MFH), Räume mit bis zu 2 Fassaden, Betondecke (&gt;80% frei)</v>
      </c>
      <c r="C21" s="2899"/>
      <c r="D21" s="2899"/>
      <c r="E21" s="2899"/>
      <c r="F21" s="2899"/>
      <c r="G21" s="2899"/>
      <c r="H21" s="2900"/>
      <c r="I21" s="2879"/>
      <c r="J21" s="2879"/>
      <c r="K21" s="2879"/>
      <c r="L21" s="2877"/>
      <c r="M21" s="2868"/>
      <c r="N21" s="1528"/>
      <c r="O21" s="2870" t="b">
        <f>OR(I21=$O$12,I21=$O$13)</f>
        <v>0</v>
      </c>
      <c r="P21" s="2892" t="b">
        <f>OR(J21=$O$12,J21=$O$13)</f>
        <v>0</v>
      </c>
      <c r="Q21" s="2892" t="b">
        <f>OR(K21=$O$12,K21=$O$13)</f>
        <v>0</v>
      </c>
      <c r="R21" s="2895" t="b">
        <f>OR(L21=$O$12,L21=$O$13)</f>
        <v>0</v>
      </c>
      <c r="S21" s="1015"/>
      <c r="T21" s="2893" t="b">
        <f>I21&lt;&gt;$O$12</f>
        <v>1</v>
      </c>
      <c r="U21" s="2894" t="b">
        <f>J21&lt;&gt;$O$12</f>
        <v>1</v>
      </c>
      <c r="V21" s="2894" t="b">
        <f>K21&lt;&gt;$O$12</f>
        <v>1</v>
      </c>
      <c r="W21" s="2896" t="b">
        <f>L21&lt;&gt;$O$12</f>
        <v>1</v>
      </c>
    </row>
    <row r="22" spans="1:23" ht="18" customHeight="1">
      <c r="B22" s="2897" t="str">
        <f>Uebersetzung!D531</f>
        <v>- Maximale Glasflächenzahl:</v>
      </c>
      <c r="C22" s="2888"/>
      <c r="D22" s="2888"/>
      <c r="E22" s="2888"/>
      <c r="F22" s="2888"/>
      <c r="G22" s="2888"/>
      <c r="H22" s="1688" t="str">
        <f>Standardwerte!K210</f>
        <v/>
      </c>
      <c r="I22" s="2880"/>
      <c r="J22" s="2880"/>
      <c r="K22" s="2880"/>
      <c r="L22" s="2878"/>
      <c r="M22" s="2869"/>
      <c r="N22" s="1528"/>
      <c r="O22" s="2870"/>
      <c r="P22" s="2892"/>
      <c r="Q22" s="2892"/>
      <c r="R22" s="2895"/>
      <c r="S22" s="1015"/>
      <c r="T22" s="2893"/>
      <c r="U22" s="2894"/>
      <c r="V22" s="2894"/>
      <c r="W22" s="2896"/>
    </row>
    <row r="23" spans="1:23" ht="27.95" customHeight="1">
      <c r="A23" s="1528" t="s">
        <v>1735</v>
      </c>
      <c r="B23" s="2889" t="str">
        <f>Uebersetzung!D532</f>
        <v>Wohnen (EFH, MFH), Räume mit bis zu 2 Fassaden, Holzdecke und Zementunterlagsboden mit min. 6 cm oder Anhydrit min. 5 cm Stärke</v>
      </c>
      <c r="C23" s="2890"/>
      <c r="D23" s="2890"/>
      <c r="E23" s="2890"/>
      <c r="F23" s="2890"/>
      <c r="G23" s="2890"/>
      <c r="H23" s="2891"/>
      <c r="I23" s="2879"/>
      <c r="J23" s="2879"/>
      <c r="K23" s="2879"/>
      <c r="L23" s="2877"/>
      <c r="M23" s="2868"/>
      <c r="N23" s="1528"/>
      <c r="O23" s="2870" t="b">
        <f>OR(I23=$O$12,I23=$O$13)</f>
        <v>0</v>
      </c>
      <c r="P23" s="2892" t="b">
        <f>OR(J23=$O$12,J23=$O$13)</f>
        <v>0</v>
      </c>
      <c r="Q23" s="2892" t="b">
        <f>OR(K23=$O$12,K23=$O$13)</f>
        <v>0</v>
      </c>
      <c r="R23" s="2895" t="b">
        <f>OR(L23=$O$12,L23=$O$13)</f>
        <v>0</v>
      </c>
      <c r="S23" s="1015"/>
      <c r="T23" s="2893" t="b">
        <f>I23&lt;&gt;$O$12</f>
        <v>1</v>
      </c>
      <c r="U23" s="2894" t="b">
        <f>J23&lt;&gt;$O$12</f>
        <v>1</v>
      </c>
      <c r="V23" s="2894" t="b">
        <f>K23&lt;&gt;$O$12</f>
        <v>1</v>
      </c>
      <c r="W23" s="2896" t="b">
        <f>L23&lt;&gt;$O$12</f>
        <v>1</v>
      </c>
    </row>
    <row r="24" spans="1:23" ht="18" customHeight="1">
      <c r="B24" s="2887" t="str">
        <f>Uebersetzung!D531</f>
        <v>- Maximale Glasflächenzahl:</v>
      </c>
      <c r="C24" s="2888"/>
      <c r="D24" s="2888"/>
      <c r="E24" s="2888"/>
      <c r="F24" s="2888"/>
      <c r="G24" s="2888"/>
      <c r="H24" s="1688" t="str">
        <f>Standardwerte!L210</f>
        <v/>
      </c>
      <c r="I24" s="2880"/>
      <c r="J24" s="2880"/>
      <c r="K24" s="2880"/>
      <c r="L24" s="2878"/>
      <c r="M24" s="2869"/>
      <c r="N24" s="1528"/>
      <c r="O24" s="2870"/>
      <c r="P24" s="2892"/>
      <c r="Q24" s="2892"/>
      <c r="R24" s="2895"/>
      <c r="S24" s="1015"/>
      <c r="T24" s="2893"/>
      <c r="U24" s="2894"/>
      <c r="V24" s="2894"/>
      <c r="W24" s="2896"/>
    </row>
    <row r="25" spans="1:23" ht="32.1" customHeight="1">
      <c r="A25" s="1528" t="s">
        <v>1737</v>
      </c>
      <c r="B25" s="2889" t="str">
        <f>Uebersetzung!D533</f>
        <v>Wohnen (EFH, MFH), Räume mit 1 Fassade, Betondecke (&gt;80% frei) SSE-SSW-Orientierung und Verschattung durch Balkon mit 1 Meter Tiefe</v>
      </c>
      <c r="C25" s="2890"/>
      <c r="D25" s="2890"/>
      <c r="E25" s="2890"/>
      <c r="F25" s="2890"/>
      <c r="G25" s="2890"/>
      <c r="H25" s="2891"/>
      <c r="I25" s="2879"/>
      <c r="J25" s="2879"/>
      <c r="K25" s="2879"/>
      <c r="L25" s="2877"/>
      <c r="M25" s="2868"/>
      <c r="N25" s="1528"/>
      <c r="O25" s="2870" t="b">
        <f>OR(I25=$O$12,I25=$O$13)</f>
        <v>0</v>
      </c>
      <c r="P25" s="2892" t="b">
        <f>OR(J25=$O$12,J25=$O$13)</f>
        <v>0</v>
      </c>
      <c r="Q25" s="2892" t="b">
        <f>OR(K25=$O$12,K25=$O$13)</f>
        <v>0</v>
      </c>
      <c r="R25" s="2895" t="b">
        <f>OR(L25=$O$12,L25=$O$13)</f>
        <v>0</v>
      </c>
      <c r="S25" s="1015"/>
      <c r="T25" s="2893" t="b">
        <f>I25&lt;&gt;$O$12</f>
        <v>1</v>
      </c>
      <c r="U25" s="2894" t="b">
        <f>J25&lt;&gt;$O$12</f>
        <v>1</v>
      </c>
      <c r="V25" s="2894" t="b">
        <f>K25&lt;&gt;$O$12</f>
        <v>1</v>
      </c>
      <c r="W25" s="2896" t="b">
        <f>L25&lt;&gt;$O$12</f>
        <v>1</v>
      </c>
    </row>
    <row r="26" spans="1:23" ht="18" customHeight="1">
      <c r="B26" s="2887" t="str">
        <f>Uebersetzung!D531</f>
        <v>- Maximale Glasflächenzahl:</v>
      </c>
      <c r="C26" s="2888"/>
      <c r="D26" s="2888"/>
      <c r="E26" s="2888"/>
      <c r="F26" s="2888"/>
      <c r="G26" s="2888"/>
      <c r="H26" s="1688" t="str">
        <f>Standardwerte!M210</f>
        <v/>
      </c>
      <c r="I26" s="2880"/>
      <c r="J26" s="2880"/>
      <c r="K26" s="2880"/>
      <c r="L26" s="2878"/>
      <c r="M26" s="2869"/>
      <c r="N26" s="1528"/>
      <c r="O26" s="2870"/>
      <c r="P26" s="2892"/>
      <c r="Q26" s="2892"/>
      <c r="R26" s="2895"/>
      <c r="S26" s="1015"/>
      <c r="T26" s="2893"/>
      <c r="U26" s="2894"/>
      <c r="V26" s="2894"/>
      <c r="W26" s="2896"/>
    </row>
    <row r="27" spans="1:23" ht="32.1" customHeight="1">
      <c r="A27" s="1528" t="s">
        <v>3281</v>
      </c>
      <c r="B27" s="2889" t="str">
        <f>Uebersetzung!D534</f>
        <v>Einzelbüro, Gruppenbüro, Räume mit bis zu 2 Fassaden, Betondecke (&gt; 40% frei) und automat. Steuerung des Sonnenschutzes. G-Wert Glas ≤ 30%</v>
      </c>
      <c r="C27" s="2890"/>
      <c r="D27" s="2890"/>
      <c r="E27" s="2890"/>
      <c r="F27" s="2890"/>
      <c r="G27" s="2890"/>
      <c r="H27" s="2891"/>
      <c r="I27" s="2879"/>
      <c r="J27" s="2879"/>
      <c r="K27" s="2879"/>
      <c r="L27" s="2877"/>
      <c r="M27" s="2868"/>
      <c r="N27" s="1528"/>
      <c r="O27" s="2870" t="b">
        <f>OR(I27=$O$12,I27=$O$13)</f>
        <v>0</v>
      </c>
      <c r="P27" s="2892" t="b">
        <f>OR(J27=$O$12,J27=$O$13)</f>
        <v>0</v>
      </c>
      <c r="Q27" s="2892" t="b">
        <f>OR(K27=$O$12,K27=$O$13)</f>
        <v>0</v>
      </c>
      <c r="R27" s="2895" t="b">
        <f>OR(L27=$O$12,L27=$O$13)</f>
        <v>0</v>
      </c>
      <c r="S27" s="1015"/>
      <c r="T27" s="2893" t="b">
        <f>I27&lt;&gt;$O$12</f>
        <v>1</v>
      </c>
      <c r="U27" s="2894" t="b">
        <f>J27&lt;&gt;$O$12</f>
        <v>1</v>
      </c>
      <c r="V27" s="2894" t="b">
        <f>K27&lt;&gt;$O$12</f>
        <v>1</v>
      </c>
      <c r="W27" s="2896" t="b">
        <f>L27&lt;&gt;$O$12</f>
        <v>1</v>
      </c>
    </row>
    <row r="28" spans="1:23" ht="18" customHeight="1">
      <c r="B28" s="2887" t="str">
        <f>Uebersetzung!D531</f>
        <v>- Maximale Glasflächenzahl:</v>
      </c>
      <c r="C28" s="2888"/>
      <c r="D28" s="2888"/>
      <c r="E28" s="2888"/>
      <c r="F28" s="2888"/>
      <c r="G28" s="2888"/>
      <c r="H28" s="1688" t="str">
        <f>Standardwerte!N210</f>
        <v/>
      </c>
      <c r="I28" s="2880"/>
      <c r="J28" s="2880"/>
      <c r="K28" s="2880"/>
      <c r="L28" s="2878"/>
      <c r="M28" s="2869"/>
      <c r="N28" s="1528"/>
      <c r="O28" s="2870"/>
      <c r="P28" s="2892"/>
      <c r="Q28" s="2892"/>
      <c r="R28" s="2895"/>
      <c r="S28" s="1015"/>
      <c r="T28" s="2893"/>
      <c r="U28" s="2894"/>
      <c r="V28" s="2894"/>
      <c r="W28" s="2896"/>
    </row>
    <row r="29" spans="1:23" ht="15.95" customHeight="1">
      <c r="A29" s="1528" t="s">
        <v>3264</v>
      </c>
      <c r="B29" s="2874" t="str">
        <f>Uebersetzung!D337</f>
        <v>Lager mit geringen internen Wärmelasten</v>
      </c>
      <c r="C29" s="2875"/>
      <c r="D29" s="2875"/>
      <c r="E29" s="2875"/>
      <c r="F29" s="2875"/>
      <c r="G29" s="2875"/>
      <c r="H29" s="2875"/>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2841</v>
      </c>
      <c r="B30" s="2884" t="str">
        <f>Uebersetzung!D338</f>
        <v>"n.a.":    Nicht vorhanden. Ein solcher Raumtyp existiert nicht.
"ja":       Ein solcher Raumtyp ist vorhanden und alle Kriterien sind erfüllt.
"nein":   Ein solcher Raumtyp ist vorhanden, aber die Kriterien sind nicht erfüllt (z.B. zu hoher Glasanteil)</v>
      </c>
      <c r="C30" s="2885"/>
      <c r="D30" s="2885"/>
      <c r="E30" s="2885"/>
      <c r="F30" s="2885"/>
      <c r="G30" s="2885"/>
      <c r="H30" s="2885"/>
      <c r="I30" s="2885"/>
      <c r="J30" s="2885"/>
      <c r="K30" s="2885"/>
      <c r="L30" s="2886"/>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1741</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3265</v>
      </c>
      <c r="U33" s="1692">
        <v>0</v>
      </c>
      <c r="V33" s="1691" t="s">
        <v>3266</v>
      </c>
      <c r="W33" s="1691"/>
    </row>
    <row r="34" spans="1:24" ht="20.100000000000001" customHeight="1">
      <c r="B34" s="1057"/>
      <c r="C34" s="2881" t="str">
        <f>Uebersetzung!D29</f>
        <v>Zone</v>
      </c>
      <c r="D34" s="2882"/>
      <c r="E34" s="2882"/>
      <c r="F34" s="2882"/>
      <c r="G34" s="2882"/>
      <c r="H34" s="2883"/>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2842</v>
      </c>
      <c r="B35" s="2871" t="str">
        <f>Uebersetzung!D536</f>
        <v>Anforderungen an den baulichen sommerlichen Wärmeschutz gemäss Nachweis Sommerlicher Wärmeschutz Variante 2 erfüllt?</v>
      </c>
      <c r="C35" s="2872"/>
      <c r="D35" s="2872"/>
      <c r="E35" s="2872"/>
      <c r="F35" s="2872"/>
      <c r="G35" s="2872"/>
      <c r="H35" s="2873"/>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3282</v>
      </c>
      <c r="B36" s="2874" t="str">
        <f>Uebersetzung!D541</f>
        <v>Anforderungen an Komfortkriterien gemäss Nachweis Sommerlicher Wärmeschutz erfüllt?</v>
      </c>
      <c r="C36" s="2875"/>
      <c r="D36" s="2875"/>
      <c r="E36" s="2875"/>
      <c r="F36" s="2875"/>
      <c r="G36" s="2875"/>
      <c r="H36" s="2876"/>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1735</v>
      </c>
      <c r="B37" s="1060"/>
      <c r="C37" s="2937"/>
      <c r="D37" s="2875"/>
      <c r="E37" s="2875"/>
      <c r="F37" s="2875"/>
      <c r="G37" s="2875"/>
      <c r="H37" s="2875"/>
      <c r="I37" s="1047"/>
      <c r="J37" s="1047"/>
      <c r="K37" s="1047"/>
      <c r="L37" s="1048"/>
      <c r="M37" s="1058"/>
      <c r="N37" s="1528"/>
      <c r="O37" s="1041"/>
      <c r="P37" s="1041"/>
      <c r="Q37" s="1041"/>
      <c r="R37" s="1023"/>
      <c r="S37" s="1015"/>
      <c r="T37" s="1040"/>
      <c r="U37" s="1041"/>
      <c r="V37" s="1041"/>
      <c r="W37" s="1023"/>
    </row>
    <row r="38" spans="1:24" hidden="1">
      <c r="A38" s="1528" t="s">
        <v>1736</v>
      </c>
      <c r="B38" s="1061"/>
      <c r="C38" s="2935"/>
      <c r="D38" s="2936"/>
      <c r="E38" s="2936"/>
      <c r="F38" s="2936"/>
      <c r="G38" s="2936"/>
      <c r="H38" s="2936"/>
      <c r="I38" s="1047"/>
      <c r="J38" s="1047"/>
      <c r="K38" s="1047"/>
      <c r="L38" s="1048"/>
      <c r="M38" s="1058"/>
      <c r="N38" s="1528"/>
      <c r="O38" s="1040"/>
      <c r="P38" s="1041"/>
      <c r="Q38" s="1041"/>
      <c r="R38" s="1023"/>
      <c r="S38" s="1015"/>
      <c r="T38" s="1040"/>
      <c r="U38" s="1041"/>
      <c r="V38" s="1041"/>
      <c r="W38" s="1023"/>
    </row>
    <row r="39" spans="1:24" hidden="1">
      <c r="A39" s="1528" t="s">
        <v>1737</v>
      </c>
      <c r="B39" s="1061"/>
      <c r="C39" s="2935"/>
      <c r="D39" s="2936"/>
      <c r="E39" s="2936"/>
      <c r="F39" s="2936"/>
      <c r="G39" s="2936"/>
      <c r="H39" s="2936"/>
      <c r="I39" s="1047"/>
      <c r="J39" s="1047"/>
      <c r="K39" s="1047"/>
      <c r="L39" s="1048"/>
      <c r="M39" s="1058"/>
      <c r="N39" s="1528"/>
      <c r="O39" s="1040"/>
      <c r="P39" s="1041"/>
      <c r="Q39" s="1041"/>
      <c r="R39" s="1023"/>
      <c r="S39" s="1015"/>
      <c r="T39" s="1040"/>
      <c r="U39" s="1041"/>
      <c r="V39" s="1041"/>
      <c r="W39" s="1023"/>
    </row>
    <row r="40" spans="1:24" hidden="1">
      <c r="A40" s="1528" t="s">
        <v>1738</v>
      </c>
      <c r="B40" s="1061"/>
      <c r="C40" s="2935"/>
      <c r="D40" s="2936"/>
      <c r="E40" s="2936"/>
      <c r="F40" s="2936"/>
      <c r="G40" s="2936"/>
      <c r="H40" s="2936"/>
      <c r="I40" s="1047"/>
      <c r="J40" s="1047"/>
      <c r="K40" s="1047"/>
      <c r="L40" s="1048"/>
      <c r="M40" s="1058"/>
      <c r="N40" s="1528"/>
      <c r="O40" s="1040"/>
      <c r="P40" s="1041"/>
      <c r="Q40" s="1041"/>
      <c r="R40" s="1023"/>
      <c r="S40" s="1015"/>
      <c r="T40" s="1040"/>
      <c r="U40" s="1041"/>
      <c r="V40" s="1041"/>
      <c r="W40" s="1023"/>
    </row>
    <row r="41" spans="1:24" hidden="1">
      <c r="A41" s="1528" t="s">
        <v>1738</v>
      </c>
      <c r="B41" s="1061"/>
      <c r="C41" s="2935"/>
      <c r="D41" s="2936"/>
      <c r="E41" s="2936"/>
      <c r="F41" s="2936"/>
      <c r="G41" s="2936"/>
      <c r="H41" s="2936"/>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2843</v>
      </c>
      <c r="B43" s="2930"/>
      <c r="C43" s="2931"/>
      <c r="D43" s="2931"/>
      <c r="E43" s="2931"/>
      <c r="F43" s="2931"/>
      <c r="G43" s="2931"/>
      <c r="H43" s="2931"/>
      <c r="I43" s="2931"/>
      <c r="J43" s="2931"/>
      <c r="K43" s="2931"/>
      <c r="L43" s="2957"/>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2844</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3267</v>
      </c>
    </row>
    <row r="46" spans="1:24" ht="20.100000000000001" customHeight="1">
      <c r="B46" s="1028"/>
      <c r="C46" s="2882" t="str">
        <f>Uebersetzung!D29</f>
        <v>Zone</v>
      </c>
      <c r="D46" s="2882"/>
      <c r="E46" s="2882"/>
      <c r="F46" s="2882"/>
      <c r="G46" s="2882"/>
      <c r="H46" s="2883"/>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2845</v>
      </c>
      <c r="B47" s="2958"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959"/>
      <c r="D47" s="2959"/>
      <c r="E47" s="2959"/>
      <c r="F47" s="2959"/>
      <c r="G47" s="2959"/>
      <c r="H47" s="2960"/>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2846</v>
      </c>
      <c r="B48" s="2874" t="str">
        <f>Uebersetzung!D348</f>
        <v>Die Zone ist gekühlt und der Energiebedarf wurde berechnet. 
Es treten keinen hohen sommerlichen Raumlufttemperaturen auf.</v>
      </c>
      <c r="C48" s="2875"/>
      <c r="D48" s="2875"/>
      <c r="E48" s="2875"/>
      <c r="F48" s="2875"/>
      <c r="G48" s="2875"/>
      <c r="H48" s="2875"/>
      <c r="I48" s="1047"/>
      <c r="J48" s="1047"/>
      <c r="K48" s="1047"/>
      <c r="L48" s="1048"/>
      <c r="M48" s="1058"/>
      <c r="N48" s="1528"/>
      <c r="O48" s="1040" t="b">
        <f t="shared" si="2"/>
        <v>0</v>
      </c>
      <c r="P48" s="1041" t="b">
        <f t="shared" si="2"/>
        <v>0</v>
      </c>
      <c r="Q48" s="1041" t="b">
        <f t="shared" si="2"/>
        <v>0</v>
      </c>
      <c r="R48" s="1023" t="b">
        <f t="shared" si="2"/>
        <v>0</v>
      </c>
      <c r="S48" s="1015"/>
      <c r="U48" s="2944" t="str">
        <f>IF(O30,Uebersetzung!$D322,IF(IF($U$33=1,T42,O42),Uebersetzung!$D535,IF(O51,Uebersetzung!$D346,"")))</f>
        <v/>
      </c>
      <c r="V48" s="2946" t="str">
        <f>IF(P30,Uebersetzung!$D322,IF(IF($U$33=1,U42,P42),Uebersetzung!$D535,IF(P51,Uebersetzung!$D346,"")))</f>
        <v/>
      </c>
      <c r="W48" s="2946" t="str">
        <f>IF(Q30,Uebersetzung!$D322,IF(IF($U$33=1,V42,Q42),Uebersetzung!$D535,IF(Q51,Uebersetzung!$D346,"")))</f>
        <v/>
      </c>
      <c r="X48" s="2920" t="str">
        <f>IF(R30,Uebersetzung!$D322,IF(IF($U$33=1,W42,R42),Uebersetzung!$D535,IF(R51,Uebersetzung!$D346,"")))</f>
        <v/>
      </c>
    </row>
    <row r="49" spans="1:24" ht="12.75" hidden="1" customHeight="1">
      <c r="A49" s="1528" t="s">
        <v>1743</v>
      </c>
      <c r="B49" s="2954"/>
      <c r="C49" s="2936"/>
      <c r="D49" s="2936"/>
      <c r="E49" s="2936"/>
      <c r="F49" s="2936"/>
      <c r="G49" s="2936"/>
      <c r="H49" s="2936"/>
      <c r="I49" s="1047"/>
      <c r="J49" s="1047"/>
      <c r="K49" s="1047"/>
      <c r="L49" s="1048"/>
      <c r="M49" s="1058"/>
      <c r="N49" s="1528"/>
      <c r="O49" s="1040" t="b">
        <f t="shared" si="2"/>
        <v>0</v>
      </c>
      <c r="P49" s="1041" t="b">
        <f t="shared" si="2"/>
        <v>0</v>
      </c>
      <c r="Q49" s="1041" t="b">
        <f t="shared" si="2"/>
        <v>0</v>
      </c>
      <c r="R49" s="1023" t="b">
        <f t="shared" si="2"/>
        <v>0</v>
      </c>
      <c r="S49" s="1015"/>
      <c r="U49" s="2944"/>
      <c r="V49" s="2946"/>
      <c r="W49" s="2946"/>
      <c r="X49" s="2920"/>
    </row>
    <row r="50" spans="1:24" ht="12.75" hidden="1" customHeight="1">
      <c r="A50" s="1528" t="s">
        <v>1744</v>
      </c>
      <c r="B50" s="2955"/>
      <c r="C50" s="2956"/>
      <c r="D50" s="2956"/>
      <c r="E50" s="2956"/>
      <c r="F50" s="2956"/>
      <c r="G50" s="2956"/>
      <c r="H50" s="2956"/>
      <c r="I50" s="1067"/>
      <c r="J50" s="1067"/>
      <c r="K50" s="1067"/>
      <c r="L50" s="1068"/>
      <c r="M50" s="1069"/>
      <c r="N50" s="1528"/>
      <c r="O50" s="1062" t="b">
        <f t="shared" si="2"/>
        <v>0</v>
      </c>
      <c r="P50" s="1063" t="b">
        <f t="shared" si="2"/>
        <v>0</v>
      </c>
      <c r="Q50" s="1063" t="b">
        <f t="shared" si="2"/>
        <v>0</v>
      </c>
      <c r="R50" s="1025" t="b">
        <f t="shared" si="2"/>
        <v>0</v>
      </c>
      <c r="S50" s="1015"/>
      <c r="U50" s="2944"/>
      <c r="V50" s="2946"/>
      <c r="W50" s="2946"/>
      <c r="X50" s="2920"/>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1745</v>
      </c>
      <c r="U51" s="2944"/>
      <c r="V51" s="2946"/>
      <c r="W51" s="2946"/>
      <c r="X51" s="2920"/>
    </row>
    <row r="52" spans="1:24" ht="32.1" customHeight="1">
      <c r="A52" s="1528" t="s">
        <v>2847</v>
      </c>
      <c r="B52" s="2932" t="str">
        <f>Uebersetzung!D349</f>
        <v>Gemäss Deklaration sind Anforderungen an den sommerlichen Wärmeschutz erfüllt.</v>
      </c>
      <c r="C52" s="2933"/>
      <c r="D52" s="2933"/>
      <c r="E52" s="2933"/>
      <c r="F52" s="2933"/>
      <c r="G52" s="2933"/>
      <c r="H52" s="2934"/>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945"/>
      <c r="V52" s="2947"/>
      <c r="W52" s="2947"/>
      <c r="X52" s="2921"/>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19">
    <cfRule type="expression" dxfId="101" priority="7" stopIfTrue="1">
      <formula>Zonen&gt;0</formula>
    </cfRule>
  </conditionalFormatting>
  <conditionalFormatting sqref="I21 I23 I25 I27 I29 I35:I41 I47:I50">
    <cfRule type="expression" dxfId="100" priority="12" stopIfTrue="1">
      <formula>Zonen&gt;0</formula>
    </cfRule>
  </conditionalFormatting>
  <conditionalFormatting sqref="I52">
    <cfRule type="expression" dxfId="99" priority="8" stopIfTrue="1">
      <formula>$O$52</formula>
    </cfRule>
  </conditionalFormatting>
  <conditionalFormatting sqref="J19">
    <cfRule type="expression" dxfId="98" priority="6" stopIfTrue="1">
      <formula>Zonen&gt;1</formula>
    </cfRule>
  </conditionalFormatting>
  <conditionalFormatting sqref="J21 J23 J25 J27 J29 J35:J41 J47:J50">
    <cfRule type="expression" dxfId="97" priority="13" stopIfTrue="1">
      <formula>Zonen&gt;1</formula>
    </cfRule>
  </conditionalFormatting>
  <conditionalFormatting sqref="J52">
    <cfRule type="expression" dxfId="96" priority="3" stopIfTrue="1">
      <formula>Zonen&lt;2</formula>
    </cfRule>
    <cfRule type="expression" dxfId="95" priority="9" stopIfTrue="1">
      <formula>$P$52</formula>
    </cfRule>
  </conditionalFormatting>
  <conditionalFormatting sqref="K19">
    <cfRule type="expression" dxfId="94" priority="5" stopIfTrue="1">
      <formula>Zonen&gt;2</formula>
    </cfRule>
  </conditionalFormatting>
  <conditionalFormatting sqref="K21 K23 K25 K27 K29 K35:K41 K47:K50">
    <cfRule type="expression" dxfId="93" priority="14" stopIfTrue="1">
      <formula>Zonen&gt;2</formula>
    </cfRule>
  </conditionalFormatting>
  <conditionalFormatting sqref="K52">
    <cfRule type="expression" dxfId="92" priority="2">
      <formula>Zonen&lt;3</formula>
    </cfRule>
    <cfRule type="expression" dxfId="91" priority="10" stopIfTrue="1">
      <formula>$Q$52</formula>
    </cfRule>
  </conditionalFormatting>
  <conditionalFormatting sqref="L19">
    <cfRule type="expression" dxfId="90" priority="4" stopIfTrue="1">
      <formula>Zonen&gt;3</formula>
    </cfRule>
  </conditionalFormatting>
  <conditionalFormatting sqref="L21 L23 L25 L27 L29 L35:L41 L47:L50">
    <cfRule type="expression" dxfId="89" priority="15" stopIfTrue="1">
      <formula>Zonen&gt;3</formula>
    </cfRule>
  </conditionalFormatting>
  <conditionalFormatting sqref="L52">
    <cfRule type="expression" dxfId="88" priority="1">
      <formula>Zonen&lt;4</formula>
    </cfRule>
    <cfRule type="expression" dxfId="87" priority="11" stopIfTrue="1">
      <formula>$R$52</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topLeftCell="A12"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v2.97</v>
      </c>
      <c r="C1" s="3"/>
      <c r="D1" s="3"/>
      <c r="E1" s="340"/>
      <c r="F1" s="3"/>
      <c r="G1" s="3"/>
      <c r="H1" s="3"/>
      <c r="I1" s="158"/>
      <c r="J1" s="3"/>
      <c r="K1" s="1343" t="str">
        <f>Uebersetzung!D5</f>
        <v>Formular EN101b, v2.97, zu verwenden bis 31. Dezember 2026</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71" t="str">
        <f>Uebersetzung!D318</f>
        <v>Übersicht</v>
      </c>
      <c r="H2" s="2972"/>
      <c r="I2" s="2972"/>
      <c r="J2" s="2972"/>
      <c r="K2" s="2973"/>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74" t="str">
        <f>Uebersetzung!D376</f>
        <v>Minergie-Nachweis</v>
      </c>
      <c r="H3" s="2975"/>
      <c r="I3" s="2975"/>
      <c r="J3" s="2975"/>
      <c r="K3" s="2976"/>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2878</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77" t="str">
        <f>Uebersetzung!D426</f>
        <v>Eingabefeld (Fakultativ)</v>
      </c>
      <c r="E18" s="2977"/>
      <c r="F18" s="2977"/>
      <c r="G18" s="11"/>
      <c r="H18" s="2978" t="str">
        <f>Uebersetzung!D427</f>
        <v>Auswahlfeld (Pflicht)</v>
      </c>
      <c r="I18" s="2978"/>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2863</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803"/>
      <c r="M20" s="1482"/>
      <c r="N20" s="1300"/>
      <c r="O20" s="1300"/>
      <c r="P20" s="1300"/>
      <c r="Q20" s="1300"/>
      <c r="R20" s="1300"/>
      <c r="S20" s="1300"/>
      <c r="T20" s="1300"/>
      <c r="U20" s="804"/>
      <c r="V20" s="804"/>
      <c r="W20" s="804"/>
      <c r="X20" s="804"/>
    </row>
    <row r="21" spans="1:24" s="298" customFormat="1" ht="24" customHeight="1">
      <c r="A21" s="1517" t="s">
        <v>2864</v>
      </c>
      <c r="B21" s="777" t="str">
        <f>IF(MUKEN,Uebersetzung!D9,Uebersetzung!D356)</f>
        <v xml:space="preserve">Gemeinde:             </v>
      </c>
      <c r="C21" s="2981" t="str">
        <f>IF(Projekt1="","",Projekt1)</f>
        <v/>
      </c>
      <c r="D21" s="2981"/>
      <c r="E21" s="2981"/>
      <c r="F21" s="2981"/>
      <c r="G21" s="864" t="str">
        <f>Uebersetzung!D10</f>
        <v xml:space="preserve">Parz.-Nr.:  </v>
      </c>
      <c r="H21" s="1237">
        <f>Projekt2</f>
        <v>0</v>
      </c>
      <c r="I21" s="1396" t="str">
        <f>IF(MUKEN,Uebersetzung!D11,Uebersetzung!D358)</f>
        <v xml:space="preserve">Geb.-Nr.: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2865</v>
      </c>
      <c r="B22" s="778" t="str">
        <f>IF(MUKEN,Uebersetzung!D13,Uebersetzung!D359)</f>
        <v xml:space="preserve">Bauvorhaben:            </v>
      </c>
      <c r="C22" s="2979">
        <f>Eingaben!C8</f>
        <v>0</v>
      </c>
      <c r="D22" s="2979"/>
      <c r="E22" s="2979"/>
      <c r="F22" s="2979"/>
      <c r="G22" s="2979"/>
      <c r="H22" s="2979"/>
      <c r="I22" s="2979"/>
      <c r="J22" s="2979"/>
      <c r="K22" s="2980"/>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2866</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10" t="str">
        <f>Uebersetzung!D294</f>
        <v>Anforderung</v>
      </c>
      <c r="G29" s="2982"/>
      <c r="H29" s="2610" t="str">
        <f>Uebersetzung!D295</f>
        <v>Berechneter Wert</v>
      </c>
      <c r="I29" s="2982"/>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2867</v>
      </c>
      <c r="B30" s="2384" t="str">
        <f>Uebersetzung!D430&amp;"  "&amp;Uebersetzung!D694</f>
        <v>Minergie-Kennzahl in kWh/m2  (Betrieb)</v>
      </c>
      <c r="C30" s="1213"/>
      <c r="D30" s="2385"/>
      <c r="E30" s="2386"/>
      <c r="F30" s="2983">
        <f>IF(bern,,MINERGIE!Z43)</f>
        <v>0</v>
      </c>
      <c r="G30" s="2984"/>
      <c r="H30" s="2983" t="b">
        <f>IF(bern,,IF(MUKEN=FALSE,Nachweis!I59))</f>
        <v>0</v>
      </c>
      <c r="I30" s="2984"/>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2868</v>
      </c>
      <c r="B31" s="2323" t="str">
        <f>IF(THG_Scope1,Uebersetzung!D693,Uebersetzung!D431)</f>
        <v>Treibhausgasemissionen im Betrieb in CO2 kg/m2 (Scope 1)</v>
      </c>
      <c r="C31" s="2324"/>
      <c r="D31" s="2324"/>
      <c r="E31" s="2382"/>
      <c r="F31" s="2985" t="str">
        <f>Uebersetzung!D462</f>
        <v>Keine Anforderungen</v>
      </c>
      <c r="G31" s="2986"/>
      <c r="H31" s="2985">
        <f>Nachweis!AL45</f>
        <v>0</v>
      </c>
      <c r="I31" s="2986"/>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2869</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10" t="str">
        <f>Uebersetzung!D294</f>
        <v>Anforderung</v>
      </c>
      <c r="G36" s="2982"/>
      <c r="H36" s="2610" t="str">
        <f>Uebersetzung!D295</f>
        <v>Berechneter Wert</v>
      </c>
      <c r="I36" s="2982"/>
      <c r="J36" s="773"/>
      <c r="K36" s="774" t="str">
        <f>Uebersetzung!D299</f>
        <v>Erfüllt?</v>
      </c>
      <c r="L36" s="804"/>
      <c r="M36" s="1300"/>
      <c r="N36" s="1300"/>
      <c r="O36" s="1300"/>
      <c r="P36" s="1300"/>
      <c r="Q36" s="1485" t="s">
        <v>2595</v>
      </c>
      <c r="R36" s="1485" t="s">
        <v>2596</v>
      </c>
      <c r="S36" s="1485" t="s">
        <v>2597</v>
      </c>
      <c r="T36" s="1300"/>
      <c r="U36" s="804"/>
      <c r="V36" s="804"/>
      <c r="W36" s="804"/>
      <c r="X36" s="804"/>
    </row>
    <row r="37" spans="1:24" s="5" customFormat="1" ht="19.899999999999999" customHeight="1">
      <c r="A37" s="1518" t="s">
        <v>2870</v>
      </c>
      <c r="B37" s="1215" t="str">
        <f>Uebersetzung!D432</f>
        <v>ZA1: Heizwärmebedarf in kWh/m2</v>
      </c>
      <c r="C37" s="1216"/>
      <c r="D37" s="1216"/>
      <c r="E37" s="1500" t="s">
        <v>2604</v>
      </c>
      <c r="F37" s="2994">
        <f>MINERGIE!Z19</f>
        <v>0</v>
      </c>
      <c r="G37" s="2995"/>
      <c r="H37" s="2994">
        <f>MINERGIE!Z25</f>
        <v>0</v>
      </c>
      <c r="I37" s="2995"/>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2871</v>
      </c>
      <c r="B38" s="1217" t="str">
        <f>Uebersetzung!D433</f>
        <v>ZA2: Endenergie ohne PV in kWh/m2</v>
      </c>
      <c r="C38" s="1218"/>
      <c r="D38" s="1218"/>
      <c r="E38" s="1219"/>
      <c r="F38" s="2967">
        <f>IF(bern,,IF(Nachweis!L43="",0,Nachweis!L43))</f>
        <v>0</v>
      </c>
      <c r="G38" s="2968"/>
      <c r="H38" s="2967">
        <f>IF(bern,,IF(Nachweis!I58="",0,Nachweis!I58))</f>
        <v>0</v>
      </c>
      <c r="I38" s="2968"/>
      <c r="J38" s="1094"/>
      <c r="K38" s="1437" t="str">
        <f>IF(AND(F38&gt;0,H38=0),Uebersetzung!D26,IF(ROUND(F38,1)&gt;=ROUND(H38,1),IF(EBF&gt;0,Uebersetzung!D25,Uebersetzung!D26),Uebersetzung!D26))</f>
        <v>Nein</v>
      </c>
      <c r="L38" s="1440">
        <f>IF(K38=MINERGIE!$N$12,1,IF(K38=MINERGIE!$N$13,2,0))</f>
        <v>2</v>
      </c>
      <c r="M38" s="1300" t="s">
        <v>2703</v>
      </c>
      <c r="N38" s="1508">
        <v>0</v>
      </c>
      <c r="O38" s="1300"/>
      <c r="P38" s="1300"/>
      <c r="Q38" s="1300">
        <v>0</v>
      </c>
      <c r="R38" s="1300">
        <v>0</v>
      </c>
      <c r="S38" s="1301">
        <f>MAX(MIN(S65,N61),0)</f>
        <v>0</v>
      </c>
      <c r="T38" s="1300"/>
      <c r="U38" s="804"/>
      <c r="V38" s="804"/>
      <c r="W38" s="804"/>
      <c r="X38" s="804"/>
    </row>
    <row r="39" spans="1:24" s="5" customFormat="1" ht="20.100000000000001" customHeight="1">
      <c r="A39" s="1518" t="s">
        <v>2872</v>
      </c>
      <c r="B39" s="1212" t="str">
        <f>Uebersetzung!D434</f>
        <v>ZA3: Minergie-Grenzwert Beleuchtung in kWh/m2</v>
      </c>
      <c r="C39" s="8"/>
      <c r="D39" s="8"/>
      <c r="E39" s="785"/>
      <c r="F39" s="2996">
        <f>MINERGIE!K48</f>
        <v>0</v>
      </c>
      <c r="G39" s="2997"/>
      <c r="H39" s="2996">
        <f>MINERGIE!K49</f>
        <v>0</v>
      </c>
      <c r="I39" s="2997"/>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2873</v>
      </c>
      <c r="B40" s="2991" t="str">
        <f>MINERGIE!B119</f>
        <v>Minimale Grösse der Eigenstromerzeugung  [kWp]:</v>
      </c>
      <c r="C40" s="2766"/>
      <c r="D40" s="2766"/>
      <c r="E40" s="1373" t="s">
        <v>2201</v>
      </c>
      <c r="F40" s="2969">
        <f>IF(bern,,MINERGIE!E119)</f>
        <v>0</v>
      </c>
      <c r="G40" s="2970"/>
      <c r="H40" s="2969">
        <f>IF(bern,,MINERGIE!E117)</f>
        <v>0</v>
      </c>
      <c r="I40" s="2970"/>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2874</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2875</v>
      </c>
      <c r="B42" s="1100" t="str">
        <f>Uebersetzung!D464</f>
        <v>Höchstanteil fossiler Energie</v>
      </c>
      <c r="C42" s="1409"/>
      <c r="D42" s="1409"/>
      <c r="E42" s="1410" t="s">
        <v>2482</v>
      </c>
      <c r="F42" s="2989">
        <f>IF(AND(MINERGIE!AH37&gt;0,H42&gt;0),MINERGIE!AH25,)</f>
        <v>0</v>
      </c>
      <c r="G42" s="2990"/>
      <c r="H42" s="2989">
        <f>IF(MINERGIE!AH14&gt;0,MINERGIE!AH38,)</f>
        <v>0</v>
      </c>
      <c r="I42" s="2990"/>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2876</v>
      </c>
      <c r="B43" s="2992" t="str">
        <f>IF(minergiea,Uebersetzung!D465,"")</f>
        <v/>
      </c>
      <c r="C43" s="2993"/>
      <c r="D43" s="2993"/>
      <c r="E43" s="856" t="s">
        <v>2215</v>
      </c>
      <c r="F43" s="2985" t="str">
        <f>IF(minergiea,MINERGIE!G121,"")</f>
        <v/>
      </c>
      <c r="G43" s="2986"/>
      <c r="H43" s="2985" t="str">
        <f>IF(minergiea,MINERGIE!H121,"")</f>
        <v/>
      </c>
      <c r="I43" s="2986"/>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4743</v>
      </c>
      <c r="B45" s="2377" t="str">
        <f>IF(THG_Scope1,Uebersetzung!D693,Uebersetzung!D431)</f>
        <v>Treibhausgasemissionen im Betrieb in CO2 kg/m2 (Scope 1)</v>
      </c>
      <c r="C45" s="2376"/>
      <c r="D45" s="2376"/>
      <c r="E45" s="2376"/>
      <c r="F45" s="2961" t="str">
        <f>Uebersetzung!D462</f>
        <v>Keine Anforderungen</v>
      </c>
      <c r="G45" s="2962"/>
      <c r="H45" s="2961" t="str">
        <f>IF(Nachweis!AL45=0,"0",Nachweis!AL45)</f>
        <v>0</v>
      </c>
      <c r="I45" s="2962"/>
      <c r="J45" s="2380"/>
      <c r="K45" s="2381"/>
      <c r="L45" s="1440"/>
      <c r="M45" s="1300"/>
      <c r="N45" s="1301"/>
      <c r="O45" s="1300"/>
      <c r="P45" s="1506"/>
      <c r="Q45" s="1301"/>
      <c r="R45" s="1301"/>
      <c r="S45" s="1300"/>
      <c r="T45" s="1300"/>
      <c r="U45" s="804"/>
      <c r="V45" s="804"/>
      <c r="W45" s="804"/>
      <c r="X45" s="804"/>
    </row>
    <row r="46" spans="1:24" s="5" customFormat="1" ht="22.15" customHeight="1">
      <c r="A46" s="1518" t="s">
        <v>2877</v>
      </c>
      <c r="B46" s="2378" t="str">
        <f>Uebersetzung!D697&amp;"  "&amp;Uebersetzung!D696</f>
        <v>Treibhausgasemissionen in kg CO2/m2  (Erstellung)</v>
      </c>
      <c r="C46" s="2388"/>
      <c r="D46" s="2388"/>
      <c r="E46" s="2388"/>
      <c r="F46" s="2963" t="str">
        <f>Uebersetzung!D462</f>
        <v>Keine Anforderungen</v>
      </c>
      <c r="G46" s="2964"/>
      <c r="H46" s="2963">
        <f>Erstellung!H34</f>
        <v>0</v>
      </c>
      <c r="I46" s="2964"/>
      <c r="J46" s="2388"/>
      <c r="K46" s="2389"/>
      <c r="L46" s="1440"/>
      <c r="M46" s="1300"/>
      <c r="N46" s="1301"/>
      <c r="O46" s="1300"/>
      <c r="P46" s="1506"/>
      <c r="Q46" s="1301"/>
      <c r="R46" s="1301"/>
      <c r="S46" s="1300"/>
      <c r="T46" s="1300"/>
      <c r="U46" s="804"/>
      <c r="V46" s="804"/>
      <c r="W46" s="804"/>
      <c r="X46" s="804"/>
    </row>
    <row r="47" spans="1:24" s="5" customFormat="1" ht="22.15" customHeight="1">
      <c r="A47" s="1518" t="s">
        <v>4744</v>
      </c>
      <c r="B47" s="2379" t="str">
        <f>Uebersetzung!D698&amp;"  "&amp;Uebersetzung!D696</f>
        <v>Gespeicherter Kohlenstoff in kg/m2  (Erstellung)</v>
      </c>
      <c r="C47" s="2390"/>
      <c r="D47" s="2390"/>
      <c r="E47" s="2390"/>
      <c r="F47" s="2965" t="str">
        <f>Uebersetzung!D462</f>
        <v>Keine Anforderungen</v>
      </c>
      <c r="G47" s="2966"/>
      <c r="H47" s="2965">
        <f>Erstellung!H36</f>
        <v>0</v>
      </c>
      <c r="I47" s="2966"/>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4760</v>
      </c>
      <c r="B49" s="2371" t="str">
        <f>"    "&amp;Uebersetzung!D435</f>
        <v xml:space="preserve">    Visualisierung Minergie-Kennzahl (MKZ)</v>
      </c>
      <c r="C49" s="2372"/>
      <c r="D49" s="1006"/>
      <c r="E49" s="1006"/>
      <c r="F49" s="1006"/>
      <c r="G49" s="1006"/>
      <c r="H49" s="1006"/>
      <c r="I49" s="1006"/>
      <c r="J49" s="1006"/>
      <c r="K49" s="2373" t="s">
        <v>2434</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87" t="str">
        <f>M72&amp;"    "</f>
        <v xml:space="preserve">                                          E HWLK,li  +
                             Standardbedarf Elektrizität
      </v>
      </c>
      <c r="C50" s="2988"/>
      <c r="D50" s="2988"/>
      <c r="E50" s="2988" t="str">
        <f>"             
 "&amp;M70</f>
        <v xml:space="preserve">             
            Objektwert
 </v>
      </c>
      <c r="F50" s="2988"/>
      <c r="G50" s="2988"/>
      <c r="H50" s="2918" t="str">
        <f>M68</f>
        <v xml:space="preserve">   Produktion PV</v>
      </c>
      <c r="I50" s="2918"/>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4761</v>
      </c>
      <c r="B51" s="2987"/>
      <c r="C51" s="2988"/>
      <c r="D51" s="2988"/>
      <c r="E51" s="2988"/>
      <c r="F51" s="2988"/>
      <c r="G51" s="2988"/>
      <c r="H51" s="2918"/>
      <c r="I51" s="2918"/>
      <c r="J51" s="143"/>
      <c r="K51" s="1399">
        <f>N43</f>
        <v>0</v>
      </c>
      <c r="L51" s="804"/>
      <c r="M51" s="1300" t="str">
        <f>Uebersetzung!D443</f>
        <v>Wohnstrom</v>
      </c>
      <c r="N51" s="1301">
        <f>MINERGIE!S44</f>
        <v>0</v>
      </c>
      <c r="O51" s="1300" t="s">
        <v>524</v>
      </c>
      <c r="P51" s="1506" t="s">
        <v>1849</v>
      </c>
      <c r="Q51" s="1301">
        <f>MINERGIE!Z49</f>
        <v>0</v>
      </c>
      <c r="R51" s="1301">
        <f t="shared" si="0"/>
        <v>0</v>
      </c>
      <c r="S51" s="1300">
        <v>0</v>
      </c>
      <c r="T51" s="1300"/>
      <c r="U51" s="804"/>
      <c r="V51" s="804"/>
      <c r="W51" s="804"/>
      <c r="X51" s="804"/>
    </row>
    <row r="52" spans="1:24" s="5" customFormat="1" ht="20.100000000000001" customHeight="1">
      <c r="A52" s="1518"/>
      <c r="B52" s="2987"/>
      <c r="C52" s="2988"/>
      <c r="D52" s="2988"/>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4762</v>
      </c>
      <c r="B53" s="1264"/>
      <c r="C53" s="1265"/>
      <c r="D53" s="143"/>
      <c r="E53" s="143"/>
      <c r="F53" s="143"/>
      <c r="G53" s="143"/>
      <c r="H53" s="143"/>
      <c r="I53" s="143"/>
      <c r="J53" s="143"/>
      <c r="K53" s="1399">
        <f>N49</f>
        <v>0</v>
      </c>
      <c r="L53" s="804"/>
      <c r="M53" s="1300" t="str">
        <f>Uebersetzung!D439</f>
        <v>Geräte</v>
      </c>
      <c r="N53" s="1301">
        <f>MINERGIE!S59</f>
        <v>0</v>
      </c>
      <c r="O53" s="1300" t="s">
        <v>524</v>
      </c>
      <c r="P53" s="1505" t="s">
        <v>2600</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4763</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4764</v>
      </c>
      <c r="B57" s="1087"/>
      <c r="C57" s="871"/>
      <c r="D57" s="143"/>
      <c r="E57" s="143"/>
      <c r="F57" s="143"/>
      <c r="G57" s="143"/>
      <c r="H57" s="143"/>
      <c r="I57" s="143"/>
      <c r="J57" s="143"/>
      <c r="K57" s="1399">
        <f>N51</f>
        <v>0</v>
      </c>
      <c r="L57" s="804"/>
      <c r="M57" s="1300" t="str">
        <f>Uebersetzung!D442</f>
        <v>MKZ berechneter Wert</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4765</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4766</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4767</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4768</v>
      </c>
      <c r="B65" s="1264"/>
      <c r="C65" s="1267" t="b">
        <v>0</v>
      </c>
      <c r="D65" s="1095"/>
      <c r="E65" s="143"/>
      <c r="F65" s="143"/>
      <c r="G65" s="143"/>
      <c r="H65" s="143"/>
      <c r="I65" s="143"/>
      <c r="J65" s="143"/>
      <c r="K65" s="1399">
        <f>N58</f>
        <v>0</v>
      </c>
      <c r="L65" s="804"/>
      <c r="M65" s="1300" t="str">
        <f>M57</f>
        <v>MKZ berechneter Wert</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4741</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4769</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46034.719198842591</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A43:A44">
    <cfRule type="expression" dxfId="86" priority="4">
      <formula>minergiea=FALSE</formula>
    </cfRule>
  </conditionalFormatting>
  <conditionalFormatting sqref="A46:K48">
    <cfRule type="expression" dxfId="85" priority="2">
      <formula>AlleZonenNeu=FALSE</formula>
    </cfRule>
  </conditionalFormatting>
  <conditionalFormatting sqref="B43 E43:F43 H43 J43">
    <cfRule type="expression" dxfId="84" priority="26">
      <formula>minergiea=FALSE</formula>
    </cfRule>
  </conditionalFormatting>
  <conditionalFormatting sqref="B42:K42">
    <cfRule type="expression" dxfId="83" priority="23">
      <formula>minergiea=FALSE</formula>
    </cfRule>
    <cfRule type="expression" dxfId="82" priority="25">
      <formula>minergiea</formula>
    </cfRule>
  </conditionalFormatting>
  <conditionalFormatting sqref="B45:K45">
    <cfRule type="expression" dxfId="81" priority="1">
      <formula>AlleZonenNeu=FALSE</formula>
    </cfRule>
  </conditionalFormatting>
  <conditionalFormatting sqref="F30:K31">
    <cfRule type="expression" dxfId="80" priority="28">
      <formula>MUKEN=TRUE</formula>
    </cfRule>
  </conditionalFormatting>
  <conditionalFormatting sqref="G69:H69">
    <cfRule type="expression" dxfId="79" priority="31" stopIfTrue="1">
      <formula>$B$69&lt;&gt;""</formula>
    </cfRule>
  </conditionalFormatting>
  <conditionalFormatting sqref="J69">
    <cfRule type="expression" dxfId="78" priority="30" stopIfTrue="1">
      <formula>minergiep=TRUE</formula>
    </cfRule>
  </conditionalFormatting>
  <conditionalFormatting sqref="K30">
    <cfRule type="expression" dxfId="77" priority="21">
      <formula>$L$30=2</formula>
    </cfRule>
    <cfRule type="expression" dxfId="76" priority="22">
      <formula>$L$30=1</formula>
    </cfRule>
  </conditionalFormatting>
  <conditionalFormatting sqref="K37">
    <cfRule type="expression" dxfId="75" priority="12">
      <formula>$L$37=2</formula>
    </cfRule>
    <cfRule type="expression" dxfId="74" priority="20">
      <formula>$L$37=1</formula>
    </cfRule>
  </conditionalFormatting>
  <conditionalFormatting sqref="K38">
    <cfRule type="expression" dxfId="73" priority="11">
      <formula>$L$38=2</formula>
    </cfRule>
    <cfRule type="expression" dxfId="72" priority="19">
      <formula>$L$38=1</formula>
    </cfRule>
  </conditionalFormatting>
  <conditionalFormatting sqref="K39">
    <cfRule type="expression" dxfId="71" priority="9">
      <formula>$L$39=2</formula>
    </cfRule>
    <cfRule type="expression" dxfId="70" priority="17">
      <formula>$L$39=1</formula>
    </cfRule>
  </conditionalFormatting>
  <conditionalFormatting sqref="K40">
    <cfRule type="expression" dxfId="69" priority="10">
      <formula>$L$40=2</formula>
    </cfRule>
    <cfRule type="expression" dxfId="68" priority="18">
      <formula>$L$40=1</formula>
    </cfRule>
  </conditionalFormatting>
  <conditionalFormatting sqref="K41">
    <cfRule type="expression" dxfId="67" priority="8">
      <formula>$L$41=2</formula>
    </cfRule>
    <cfRule type="expression" dxfId="66" priority="16">
      <formula>$L$41=1</formula>
    </cfRule>
  </conditionalFormatting>
  <conditionalFormatting sqref="K42">
    <cfRule type="expression" dxfId="65" priority="13">
      <formula>$L$42=2</formula>
    </cfRule>
    <cfRule type="expression" dxfId="64" priority="15">
      <formula>$L$42=1</formula>
    </cfRule>
  </conditionalFormatting>
  <conditionalFormatting sqref="K43">
    <cfRule type="expression" dxfId="63" priority="5">
      <formula>minergiea=FALSE</formula>
    </cfRule>
    <cfRule type="expression" dxfId="62" priority="6">
      <formula>$L$43=2</formula>
    </cfRule>
    <cfRule type="expression" dxfId="61"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2088</v>
      </c>
    </row>
    <row r="2" spans="1:3">
      <c r="A2" s="948">
        <f>Uebersetzung!A2</f>
        <v>1</v>
      </c>
      <c r="B2" s="947">
        <v>2</v>
      </c>
      <c r="C2" s="1328" t="s">
        <v>2089</v>
      </c>
    </row>
    <row r="3" spans="1:3">
      <c r="A3" s="947" t="str">
        <f>Eingaben!B1</f>
        <v>v2.97</v>
      </c>
      <c r="B3" s="947">
        <v>3</v>
      </c>
      <c r="C3" s="1328" t="s">
        <v>2090</v>
      </c>
    </row>
    <row r="4" spans="1:3">
      <c r="A4" s="948" t="str">
        <f>Uebersetzung!E4</f>
        <v>v2.97</v>
      </c>
      <c r="B4" s="947">
        <v>4</v>
      </c>
      <c r="C4" s="1328" t="s">
        <v>2087</v>
      </c>
    </row>
    <row r="5" spans="1:3">
      <c r="A5" s="948" t="str">
        <f>IF(A6&gt;1,IF(OR(A6=2,A6=5),"MINERGIE",IF(OR(A6=3,A6=6),"MINERGIE-P",IF(OR(A6=4,A6=7),"MINERGIE-A"))),Eingaben!E14)</f>
        <v>behördlicher Nachweis</v>
      </c>
      <c r="B5" s="947">
        <v>5</v>
      </c>
      <c r="C5" s="1328" t="s">
        <v>825</v>
      </c>
    </row>
    <row r="6" spans="1:3">
      <c r="A6" s="948">
        <f>Standardwerte!AK63</f>
        <v>1</v>
      </c>
      <c r="B6" s="947">
        <v>6</v>
      </c>
      <c r="C6" s="1328" t="s">
        <v>1939</v>
      </c>
    </row>
    <row r="7" spans="1:3">
      <c r="A7" s="948" t="str">
        <f>Uebersetzung!C1</f>
        <v>deutsch</v>
      </c>
      <c r="B7" s="947">
        <v>7</v>
      </c>
      <c r="C7" s="1328" t="s">
        <v>1082</v>
      </c>
    </row>
    <row r="8" spans="1:3">
      <c r="A8" s="948">
        <f>Uebersetzung!A1</f>
        <v>1</v>
      </c>
      <c r="B8" s="947">
        <v>8</v>
      </c>
      <c r="C8" s="1328" t="s">
        <v>2056</v>
      </c>
    </row>
    <row r="9" spans="1:3">
      <c r="A9" s="948">
        <f>Projekt1</f>
        <v>0</v>
      </c>
      <c r="B9" s="947">
        <v>9</v>
      </c>
      <c r="C9" s="1328" t="s">
        <v>1940</v>
      </c>
    </row>
    <row r="10" spans="1:3">
      <c r="A10" s="948">
        <f>Projekt2</f>
        <v>0</v>
      </c>
      <c r="B10" s="947">
        <v>10</v>
      </c>
      <c r="C10" s="1328" t="s">
        <v>1080</v>
      </c>
    </row>
    <row r="11" spans="1:3">
      <c r="A11" s="948">
        <f>Projekt3</f>
        <v>0</v>
      </c>
      <c r="B11" s="947">
        <v>11</v>
      </c>
      <c r="C11" s="1328" t="s">
        <v>1941</v>
      </c>
    </row>
    <row r="12" spans="1:3">
      <c r="A12" s="948">
        <f>Eingaben!J8</f>
        <v>0</v>
      </c>
      <c r="B12" s="947">
        <v>12</v>
      </c>
      <c r="C12" s="1328" t="s">
        <v>1942</v>
      </c>
    </row>
    <row r="13" spans="1:3">
      <c r="A13" s="948">
        <f>Projekt4</f>
        <v>0</v>
      </c>
      <c r="B13" s="947">
        <v>13</v>
      </c>
      <c r="C13" s="1328" t="s">
        <v>1943</v>
      </c>
    </row>
    <row r="14" spans="1:3">
      <c r="A14" s="948">
        <f>Hoehe</f>
        <v>0</v>
      </c>
      <c r="B14" s="947">
        <v>14</v>
      </c>
      <c r="C14" s="1328" t="s">
        <v>1081</v>
      </c>
    </row>
    <row r="15" spans="1:3">
      <c r="A15" s="948">
        <f>Eingaben!I13</f>
        <v>0</v>
      </c>
      <c r="B15" s="947">
        <v>15</v>
      </c>
      <c r="C15" s="1328" t="s">
        <v>21</v>
      </c>
    </row>
    <row r="16" spans="1:3">
      <c r="A16" s="948">
        <f>Kanton</f>
        <v>1</v>
      </c>
      <c r="B16" s="947">
        <v>16</v>
      </c>
      <c r="C16" s="1328" t="s">
        <v>1976</v>
      </c>
    </row>
    <row r="17" spans="1:3">
      <c r="A17" s="948" t="str">
        <f>Eingaben!I14</f>
        <v xml:space="preserve"> </v>
      </c>
      <c r="B17" s="947">
        <v>17</v>
      </c>
      <c r="C17" s="1328" t="s">
        <v>15</v>
      </c>
    </row>
    <row r="18" spans="1:3">
      <c r="A18" s="948">
        <f>Standardwerte!B51</f>
        <v>1</v>
      </c>
      <c r="B18" s="947">
        <v>18</v>
      </c>
      <c r="C18" s="1328" t="s">
        <v>1944</v>
      </c>
    </row>
    <row r="19" spans="1:3">
      <c r="A19" s="948" t="str">
        <f>Eingaben!F16</f>
        <v xml:space="preserve"> </v>
      </c>
      <c r="B19" s="947">
        <v>19</v>
      </c>
      <c r="C19" s="1328" t="s">
        <v>1083</v>
      </c>
    </row>
    <row r="20" spans="1:3">
      <c r="A20" s="948">
        <f>Kategorie1-1</f>
        <v>0</v>
      </c>
      <c r="B20" s="947">
        <v>20</v>
      </c>
      <c r="C20" s="1328" t="s">
        <v>2093</v>
      </c>
    </row>
    <row r="21" spans="1:3">
      <c r="A21" s="948">
        <f>Eingaben!G16</f>
        <v>0</v>
      </c>
      <c r="B21" s="947">
        <v>21</v>
      </c>
      <c r="C21" s="1328" t="s">
        <v>1086</v>
      </c>
    </row>
    <row r="22" spans="1:3">
      <c r="A22" s="948">
        <f>Kategorie2-1</f>
        <v>0</v>
      </c>
      <c r="B22" s="947">
        <v>22</v>
      </c>
      <c r="C22" s="1328" t="s">
        <v>2095</v>
      </c>
    </row>
    <row r="23" spans="1:3">
      <c r="A23" s="948">
        <f>Eingaben!H16</f>
        <v>0</v>
      </c>
      <c r="B23" s="947">
        <v>23</v>
      </c>
      <c r="C23" s="1328" t="s">
        <v>1085</v>
      </c>
    </row>
    <row r="24" spans="1:3">
      <c r="A24" s="948">
        <f>Kategorie3-1</f>
        <v>0</v>
      </c>
      <c r="B24" s="947">
        <v>24</v>
      </c>
      <c r="C24" s="1328" t="s">
        <v>2096</v>
      </c>
    </row>
    <row r="25" spans="1:3">
      <c r="A25" s="948">
        <f>Eingaben!I16</f>
        <v>0</v>
      </c>
      <c r="B25" s="947">
        <v>25</v>
      </c>
      <c r="C25" s="1328" t="s">
        <v>1084</v>
      </c>
    </row>
    <row r="26" spans="1:3">
      <c r="A26" s="948">
        <f>Kategorie4-1</f>
        <v>0</v>
      </c>
      <c r="B26" s="947">
        <v>26</v>
      </c>
      <c r="C26" s="1328" t="s">
        <v>2094</v>
      </c>
    </row>
    <row r="27" spans="1:3">
      <c r="A27" s="948">
        <f>Eingaben!F17</f>
        <v>0</v>
      </c>
      <c r="B27" s="947">
        <v>27</v>
      </c>
      <c r="C27" s="1328" t="s">
        <v>1087</v>
      </c>
    </row>
    <row r="28" spans="1:3">
      <c r="A28" s="948">
        <f>IF(A27=Uebersetzung!$D$25,1,IF(A27=Uebersetzung!$D$26,2,0))</f>
        <v>0</v>
      </c>
      <c r="B28" s="947">
        <v>28</v>
      </c>
      <c r="C28" s="1328" t="s">
        <v>2097</v>
      </c>
    </row>
    <row r="29" spans="1:3">
      <c r="A29" s="948">
        <f>Eingaben!G17</f>
        <v>0</v>
      </c>
      <c r="B29" s="947">
        <v>29</v>
      </c>
      <c r="C29" s="1328" t="s">
        <v>1088</v>
      </c>
    </row>
    <row r="30" spans="1:3">
      <c r="A30" s="948">
        <f>IF(A29=Uebersetzung!$D$25,1,IF(A29=Uebersetzung!$D$26,2,0))</f>
        <v>0</v>
      </c>
      <c r="B30" s="947">
        <v>30</v>
      </c>
      <c r="C30" s="1328" t="s">
        <v>2100</v>
      </c>
    </row>
    <row r="31" spans="1:3">
      <c r="A31" s="948">
        <f>Eingaben!H17</f>
        <v>0</v>
      </c>
      <c r="B31" s="947">
        <v>31</v>
      </c>
      <c r="C31" s="1328" t="s">
        <v>1089</v>
      </c>
    </row>
    <row r="32" spans="1:3">
      <c r="A32" s="948">
        <f>IF(A31=Uebersetzung!$D$25,1,IF(A31=Uebersetzung!$D$26,2,0))</f>
        <v>0</v>
      </c>
      <c r="B32" s="947">
        <v>32</v>
      </c>
      <c r="C32" s="1328" t="s">
        <v>2099</v>
      </c>
    </row>
    <row r="33" spans="1:3">
      <c r="A33" s="948">
        <f>Eingaben!I17</f>
        <v>0</v>
      </c>
      <c r="B33" s="947">
        <v>33</v>
      </c>
      <c r="C33" s="1328" t="s">
        <v>1090</v>
      </c>
    </row>
    <row r="34" spans="1:3">
      <c r="A34" s="948">
        <f>IF(A33=Uebersetzung!$D$25,1,IF(A33=Uebersetzung!$D$26,2,0))</f>
        <v>0</v>
      </c>
      <c r="B34" s="947">
        <v>34</v>
      </c>
      <c r="C34" s="1328" t="s">
        <v>2098</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t="str">
        <f>Eingaben!F21</f>
        <v xml:space="preserve"> </v>
      </c>
      <c r="B39" s="947">
        <v>39</v>
      </c>
      <c r="C39" s="1328" t="s">
        <v>1095</v>
      </c>
    </row>
    <row r="40" spans="1:3">
      <c r="A40" s="948">
        <f>Neubau1-1</f>
        <v>0</v>
      </c>
      <c r="B40" s="947">
        <v>40</v>
      </c>
      <c r="C40" s="1328" t="s">
        <v>2101</v>
      </c>
    </row>
    <row r="41" spans="1:3">
      <c r="A41" s="948">
        <f>Eingaben!G21</f>
        <v>0</v>
      </c>
      <c r="B41" s="947">
        <v>41</v>
      </c>
      <c r="C41" s="1328" t="s">
        <v>1098</v>
      </c>
    </row>
    <row r="42" spans="1:3">
      <c r="A42" s="948">
        <f>Neubau2-1</f>
        <v>0</v>
      </c>
      <c r="B42" s="947">
        <v>42</v>
      </c>
      <c r="C42" s="1328" t="s">
        <v>2103</v>
      </c>
    </row>
    <row r="43" spans="1:3">
      <c r="A43" s="948">
        <f>Eingaben!H21</f>
        <v>0</v>
      </c>
      <c r="B43" s="947">
        <v>43</v>
      </c>
      <c r="C43" s="1328" t="s">
        <v>1097</v>
      </c>
    </row>
    <row r="44" spans="1:3">
      <c r="A44" s="948">
        <f>Neubau3-1</f>
        <v>0</v>
      </c>
      <c r="B44" s="947">
        <v>44</v>
      </c>
      <c r="C44" s="1328" t="s">
        <v>2104</v>
      </c>
    </row>
    <row r="45" spans="1:3">
      <c r="A45" s="948">
        <f>Eingaben!I21</f>
        <v>0</v>
      </c>
      <c r="B45" s="947">
        <v>45</v>
      </c>
      <c r="C45" s="1328" t="s">
        <v>1096</v>
      </c>
    </row>
    <row r="46" spans="1:3">
      <c r="A46" s="948">
        <f>Neubau4-1</f>
        <v>0</v>
      </c>
      <c r="B46" s="947">
        <v>46</v>
      </c>
      <c r="C46" s="1328" t="s">
        <v>2102</v>
      </c>
    </row>
    <row r="47" spans="1:3">
      <c r="A47" s="948">
        <f>Eingaben!F30</f>
        <v>0</v>
      </c>
      <c r="B47" s="947">
        <v>47</v>
      </c>
      <c r="C47" s="1328" t="s">
        <v>3896</v>
      </c>
    </row>
    <row r="48" spans="1:3">
      <c r="A48" s="948">
        <f>IF(A47=Uebersetzung!$D$25,1,IF(A47=Uebersetzung!$D$26,2,0))</f>
        <v>0</v>
      </c>
      <c r="B48" s="947">
        <v>48</v>
      </c>
      <c r="C48" s="1328" t="s">
        <v>3900</v>
      </c>
    </row>
    <row r="49" spans="1:3">
      <c r="A49" s="948">
        <f>Eingaben!G30</f>
        <v>0</v>
      </c>
      <c r="B49" s="947">
        <v>49</v>
      </c>
      <c r="C49" s="1328" t="s">
        <v>3899</v>
      </c>
    </row>
    <row r="50" spans="1:3">
      <c r="A50" s="948">
        <f>IF(A49=Uebersetzung!$D$25,1,IF(A49=Uebersetzung!$D$26,2,0))</f>
        <v>0</v>
      </c>
      <c r="B50" s="947">
        <v>50</v>
      </c>
      <c r="C50" s="1328" t="s">
        <v>3901</v>
      </c>
    </row>
    <row r="51" spans="1:3">
      <c r="A51" s="948">
        <f>Eingaben!H30</f>
        <v>0</v>
      </c>
      <c r="B51" s="947">
        <v>51</v>
      </c>
      <c r="C51" s="1328" t="s">
        <v>3898</v>
      </c>
    </row>
    <row r="52" spans="1:3">
      <c r="A52" s="948">
        <f>IF(A51=Uebersetzung!$D$25,1,IF(A51=Uebersetzung!$D$26,2,0))</f>
        <v>0</v>
      </c>
      <c r="B52" s="947">
        <v>52</v>
      </c>
      <c r="C52" s="1328" t="s">
        <v>3902</v>
      </c>
    </row>
    <row r="53" spans="1:3">
      <c r="A53" s="948">
        <f>Eingaben!I30</f>
        <v>0</v>
      </c>
      <c r="B53" s="947">
        <v>53</v>
      </c>
      <c r="C53" s="1328" t="s">
        <v>3897</v>
      </c>
    </row>
    <row r="54" spans="1:3">
      <c r="A54" s="948">
        <f>IF(A53=Uebersetzung!$D$25,1,IF(A53=Uebersetzung!$D$26,2,0))</f>
        <v>0</v>
      </c>
      <c r="B54" s="947">
        <v>54</v>
      </c>
      <c r="C54" s="1328" t="s">
        <v>3903</v>
      </c>
    </row>
    <row r="55" spans="1:3">
      <c r="A55" s="948">
        <f>Eingaben!F31</f>
        <v>0</v>
      </c>
      <c r="B55" s="947">
        <v>55</v>
      </c>
      <c r="C55" s="1328" t="s">
        <v>3904</v>
      </c>
    </row>
    <row r="56" spans="1:3">
      <c r="A56" s="948">
        <f>IF(A55=0,1,VLOOKUP(A55,Standardwerte!$O$35:$T$45,6,FALSE))-1</f>
        <v>0</v>
      </c>
      <c r="B56" s="947">
        <v>56</v>
      </c>
      <c r="C56" s="1328" t="s">
        <v>3908</v>
      </c>
    </row>
    <row r="57" spans="1:3">
      <c r="A57" s="948">
        <f>Eingaben!G31</f>
        <v>0</v>
      </c>
      <c r="B57" s="947">
        <v>57</v>
      </c>
      <c r="C57" s="1328" t="s">
        <v>3905</v>
      </c>
    </row>
    <row r="58" spans="1:3">
      <c r="A58" s="948">
        <f>IF(A57=0,1,VLOOKUP(A57,Standardwerte!$O$35:$T$45,6,FALSE))-1</f>
        <v>0</v>
      </c>
      <c r="B58" s="947">
        <v>58</v>
      </c>
      <c r="C58" s="1328" t="s">
        <v>3909</v>
      </c>
    </row>
    <row r="59" spans="1:3">
      <c r="A59" s="948">
        <f>Eingaben!H31</f>
        <v>0</v>
      </c>
      <c r="B59" s="947">
        <v>59</v>
      </c>
      <c r="C59" s="1328" t="s">
        <v>3906</v>
      </c>
    </row>
    <row r="60" spans="1:3">
      <c r="A60" s="948">
        <f>IF(A59=0,1,VLOOKUP(A59,Standardwerte!$O$35:$T$45,6,FALSE))-1</f>
        <v>0</v>
      </c>
      <c r="B60" s="947">
        <v>60</v>
      </c>
      <c r="C60" s="1328" t="s">
        <v>3910</v>
      </c>
    </row>
    <row r="61" spans="1:3">
      <c r="A61" s="948">
        <f>Eingaben!I31</f>
        <v>0</v>
      </c>
      <c r="B61" s="947">
        <v>61</v>
      </c>
      <c r="C61" s="1328" t="s">
        <v>3907</v>
      </c>
    </row>
    <row r="62" spans="1:3">
      <c r="A62" s="948">
        <f>IF(A61=0,1,VLOOKUP(A61,Standardwerte!$O$35:$T$45,6,FALSE))-1</f>
        <v>0</v>
      </c>
      <c r="B62" s="947">
        <v>62</v>
      </c>
      <c r="C62" s="1328" t="s">
        <v>3911</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1953</v>
      </c>
    </row>
    <row r="68" spans="1:3">
      <c r="A68" s="948">
        <f>IF(A67=0,1,VLOOKUP(A67,Standardwerte!$L$54:$O$59,4,FALSE))-1</f>
        <v>0</v>
      </c>
      <c r="B68" s="947">
        <v>68</v>
      </c>
      <c r="C68" s="1328" t="s">
        <v>2105</v>
      </c>
    </row>
    <row r="69" spans="1:3">
      <c r="A69" s="948">
        <f>Eingaben!G34</f>
        <v>0</v>
      </c>
      <c r="B69" s="947">
        <v>69</v>
      </c>
      <c r="C69" s="1328" t="s">
        <v>1954</v>
      </c>
    </row>
    <row r="70" spans="1:3">
      <c r="A70" s="948">
        <f>IF(A69=0,1,VLOOKUP(A69,Standardwerte!$L$54:$O$59,4,FALSE))-1</f>
        <v>0</v>
      </c>
      <c r="B70" s="947">
        <v>70</v>
      </c>
      <c r="C70" s="1328" t="s">
        <v>2106</v>
      </c>
    </row>
    <row r="71" spans="1:3">
      <c r="A71" s="948">
        <f>Eingaben!H34</f>
        <v>0</v>
      </c>
      <c r="B71" s="947">
        <v>71</v>
      </c>
      <c r="C71" s="1328" t="s">
        <v>1955</v>
      </c>
    </row>
    <row r="72" spans="1:3">
      <c r="A72" s="948">
        <f>IF(A71=0,1,VLOOKUP(A71,Standardwerte!$L$54:$O$59,4,FALSE))-1</f>
        <v>0</v>
      </c>
      <c r="B72" s="947">
        <v>72</v>
      </c>
      <c r="C72" s="1328" t="s">
        <v>2107</v>
      </c>
    </row>
    <row r="73" spans="1:3">
      <c r="A73" s="948">
        <f>Eingaben!I34</f>
        <v>0</v>
      </c>
      <c r="B73" s="947">
        <v>73</v>
      </c>
      <c r="C73" s="1328" t="s">
        <v>1956</v>
      </c>
    </row>
    <row r="74" spans="1:3">
      <c r="A74" s="948">
        <f>IF(A73=0,1,VLOOKUP(A73,Standardwerte!$L$54:$O$59,4,FALSE))-1</f>
        <v>0</v>
      </c>
      <c r="B74" s="947">
        <v>74</v>
      </c>
      <c r="C74" s="1328" t="s">
        <v>2108</v>
      </c>
    </row>
    <row r="75" spans="1:3">
      <c r="A75" s="948">
        <f>Eingaben!F35</f>
        <v>0</v>
      </c>
      <c r="B75" s="947">
        <v>75</v>
      </c>
      <c r="C75" s="1328" t="s">
        <v>1957</v>
      </c>
    </row>
    <row r="76" spans="1:3">
      <c r="A76" s="948">
        <f>IF(A75=0,1,VLOOKUP(A75,Standardwerte!$AB$46:$AD$48,3,FALSE))-1</f>
        <v>0</v>
      </c>
      <c r="B76" s="947">
        <v>76</v>
      </c>
      <c r="C76" s="1328" t="s">
        <v>2110</v>
      </c>
    </row>
    <row r="77" spans="1:3">
      <c r="A77" s="948">
        <f>Eingaben!G35</f>
        <v>0</v>
      </c>
      <c r="B77" s="947">
        <v>77</v>
      </c>
      <c r="C77" s="1328" t="s">
        <v>1959</v>
      </c>
    </row>
    <row r="78" spans="1:3">
      <c r="A78" s="948">
        <f>IF(A77=0,1,VLOOKUP(A77,Standardwerte!$AB$46:$AD$48,3,FALSE))-1</f>
        <v>0</v>
      </c>
      <c r="B78" s="947">
        <v>78</v>
      </c>
      <c r="C78" s="1328" t="s">
        <v>2111</v>
      </c>
    </row>
    <row r="79" spans="1:3">
      <c r="A79" s="948">
        <f>Eingaben!H35</f>
        <v>0</v>
      </c>
      <c r="B79" s="947">
        <v>79</v>
      </c>
      <c r="C79" s="1328" t="s">
        <v>1960</v>
      </c>
    </row>
    <row r="80" spans="1:3">
      <c r="A80" s="948">
        <f>IF(A79=0,1,VLOOKUP(A79,Standardwerte!$AB$46:$AD$48,3,FALSE))-1</f>
        <v>0</v>
      </c>
      <c r="B80" s="947">
        <v>80</v>
      </c>
      <c r="C80" s="1328" t="s">
        <v>2112</v>
      </c>
    </row>
    <row r="81" spans="1:3">
      <c r="A81" s="948">
        <f>Eingaben!I35</f>
        <v>0</v>
      </c>
      <c r="B81" s="947">
        <v>81</v>
      </c>
      <c r="C81" s="1328" t="s">
        <v>1958</v>
      </c>
    </row>
    <row r="82" spans="1:3">
      <c r="A82" s="948">
        <f>IF(A81=0,1,VLOOKUP(A81,Standardwerte!$AB$46:$AD$48,3,FALSE))-1</f>
        <v>0</v>
      </c>
      <c r="B82" s="947">
        <v>82</v>
      </c>
      <c r="C82" s="1328" t="s">
        <v>2109</v>
      </c>
    </row>
    <row r="83" spans="1:3">
      <c r="A83" s="948">
        <f>Eingaben!F39</f>
        <v>0</v>
      </c>
      <c r="B83" s="947">
        <v>83</v>
      </c>
      <c r="C83" s="1328" t="s">
        <v>1103</v>
      </c>
    </row>
    <row r="84" spans="1:3">
      <c r="A84" s="948">
        <f>Standardwerte!J118-1</f>
        <v>0</v>
      </c>
      <c r="B84" s="947">
        <v>84</v>
      </c>
      <c r="C84" s="1328" t="s">
        <v>2114</v>
      </c>
    </row>
    <row r="85" spans="1:3">
      <c r="A85" s="948">
        <f>Eingaben!G39</f>
        <v>0</v>
      </c>
      <c r="B85" s="947">
        <v>85</v>
      </c>
      <c r="C85" s="1328" t="s">
        <v>1106</v>
      </c>
    </row>
    <row r="86" spans="1:3">
      <c r="A86" s="948">
        <f>Standardwerte!K118-1</f>
        <v>0</v>
      </c>
      <c r="B86" s="947">
        <v>86</v>
      </c>
      <c r="C86" s="1328" t="s">
        <v>2115</v>
      </c>
    </row>
    <row r="87" spans="1:3">
      <c r="A87" s="948">
        <f>Eingaben!H39</f>
        <v>0</v>
      </c>
      <c r="B87" s="947">
        <v>87</v>
      </c>
      <c r="C87" s="1328" t="s">
        <v>1105</v>
      </c>
    </row>
    <row r="88" spans="1:3">
      <c r="A88" s="948">
        <f>Standardwerte!L118-1</f>
        <v>0</v>
      </c>
      <c r="B88" s="947">
        <v>88</v>
      </c>
      <c r="C88" s="1328" t="s">
        <v>2116</v>
      </c>
    </row>
    <row r="89" spans="1:3">
      <c r="A89" s="948">
        <f>Eingaben!I39</f>
        <v>0</v>
      </c>
      <c r="B89" s="947">
        <v>89</v>
      </c>
      <c r="C89" s="1328" t="s">
        <v>1104</v>
      </c>
    </row>
    <row r="90" spans="1:3">
      <c r="A90" s="948">
        <f>Standardwerte!M118-1</f>
        <v>0</v>
      </c>
      <c r="B90" s="947">
        <v>90</v>
      </c>
      <c r="C90" s="1328" t="s">
        <v>2113</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3892</v>
      </c>
    </row>
    <row r="104" spans="1:3">
      <c r="A104" s="949">
        <f>Eingaben!G43</f>
        <v>0</v>
      </c>
      <c r="B104" s="947">
        <v>104</v>
      </c>
      <c r="C104" s="1328" t="s">
        <v>3893</v>
      </c>
    </row>
    <row r="105" spans="1:3">
      <c r="A105" s="949">
        <f>Eingaben!H43</f>
        <v>0</v>
      </c>
      <c r="B105" s="947">
        <v>105</v>
      </c>
      <c r="C105" s="1328" t="s">
        <v>3894</v>
      </c>
    </row>
    <row r="106" spans="1:3">
      <c r="A106" s="949">
        <f>Eingaben!I43</f>
        <v>0</v>
      </c>
      <c r="B106" s="947">
        <v>106</v>
      </c>
      <c r="C106" s="1328" t="s">
        <v>3895</v>
      </c>
    </row>
    <row r="107" spans="1:3">
      <c r="A107" s="948" t="str">
        <f>Eingaben!E46</f>
        <v>kWh/m2</v>
      </c>
      <c r="B107" s="947">
        <v>107</v>
      </c>
      <c r="C107" s="1328" t="s">
        <v>1121</v>
      </c>
    </row>
    <row r="108" spans="1:3">
      <c r="A108" s="948">
        <f>Einheiten</f>
        <v>2</v>
      </c>
      <c r="B108" s="947">
        <v>108</v>
      </c>
      <c r="C108" s="1328" t="s">
        <v>1961</v>
      </c>
    </row>
    <row r="109" spans="1:3">
      <c r="A109" s="948">
        <f>_qh1/3.6</f>
        <v>0</v>
      </c>
      <c r="B109" s="947">
        <v>109</v>
      </c>
      <c r="C109" s="1328" t="s">
        <v>1962</v>
      </c>
    </row>
    <row r="110" spans="1:3">
      <c r="A110" s="948">
        <f>_qh2/3.6</f>
        <v>0</v>
      </c>
      <c r="B110" s="947">
        <v>110</v>
      </c>
      <c r="C110" s="1328" t="s">
        <v>1963</v>
      </c>
    </row>
    <row r="111" spans="1:3">
      <c r="A111" s="948">
        <f>_qh3/3.6</f>
        <v>0</v>
      </c>
      <c r="B111" s="947">
        <v>111</v>
      </c>
      <c r="C111" s="1328" t="s">
        <v>1964</v>
      </c>
    </row>
    <row r="112" spans="1:3">
      <c r="A112" s="948">
        <f>_qh4/3.6</f>
        <v>0</v>
      </c>
      <c r="B112" s="947">
        <v>112</v>
      </c>
      <c r="C112" s="1328" t="s">
        <v>1965</v>
      </c>
    </row>
    <row r="113" spans="1:7">
      <c r="A113" s="948">
        <f>_qhs1/3.6</f>
        <v>0</v>
      </c>
      <c r="B113" s="947">
        <v>113</v>
      </c>
      <c r="C113" s="1328" t="s">
        <v>1949</v>
      </c>
    </row>
    <row r="114" spans="1:7">
      <c r="A114" s="948">
        <f>_qhs2/3.6</f>
        <v>0</v>
      </c>
      <c r="B114" s="947">
        <v>114</v>
      </c>
      <c r="C114" s="1328" t="s">
        <v>1950</v>
      </c>
    </row>
    <row r="115" spans="1:7">
      <c r="A115" s="948">
        <f>_qhs3/3.6</f>
        <v>0</v>
      </c>
      <c r="B115" s="947">
        <v>115</v>
      </c>
      <c r="C115" s="1328" t="s">
        <v>1951</v>
      </c>
    </row>
    <row r="116" spans="1:7">
      <c r="A116" s="948">
        <f>_qhs4/3.6</f>
        <v>0</v>
      </c>
      <c r="B116" s="947">
        <v>116</v>
      </c>
      <c r="C116" s="1328" t="s">
        <v>1952</v>
      </c>
    </row>
    <row r="117" spans="1:7">
      <c r="A117" s="948">
        <f>AEBF1</f>
        <v>0</v>
      </c>
      <c r="B117" s="947">
        <v>117</v>
      </c>
      <c r="C117" s="1328" t="s">
        <v>1945</v>
      </c>
    </row>
    <row r="118" spans="1:7">
      <c r="A118" s="948">
        <f>AEBF2</f>
        <v>0</v>
      </c>
      <c r="B118" s="947">
        <v>118</v>
      </c>
      <c r="C118" s="1328" t="s">
        <v>1946</v>
      </c>
    </row>
    <row r="119" spans="1:7">
      <c r="A119" s="948">
        <f>AEBF3</f>
        <v>0</v>
      </c>
      <c r="B119" s="947">
        <v>119</v>
      </c>
      <c r="C119" s="1328" t="s">
        <v>1947</v>
      </c>
    </row>
    <row r="120" spans="1:7">
      <c r="A120" s="948">
        <f>AEBF4</f>
        <v>0</v>
      </c>
      <c r="B120" s="947">
        <v>120</v>
      </c>
      <c r="C120" s="1328" t="s">
        <v>1948</v>
      </c>
    </row>
    <row r="121" spans="1:7">
      <c r="A121" s="948">
        <f>_Vth1</f>
        <v>0</v>
      </c>
      <c r="B121" s="947">
        <v>121</v>
      </c>
      <c r="C121" s="1328" t="s">
        <v>1966</v>
      </c>
    </row>
    <row r="122" spans="1:7">
      <c r="A122" s="948">
        <f>_Vth2</f>
        <v>0</v>
      </c>
      <c r="B122" s="947">
        <v>122</v>
      </c>
      <c r="C122" s="1328" t="s">
        <v>1969</v>
      </c>
    </row>
    <row r="123" spans="1:7">
      <c r="A123" s="948">
        <f>_Vth3</f>
        <v>0</v>
      </c>
      <c r="B123" s="947">
        <v>123</v>
      </c>
      <c r="C123" s="1328" t="s">
        <v>1968</v>
      </c>
    </row>
    <row r="124" spans="1:7">
      <c r="A124" s="950">
        <f>_Vth4</f>
        <v>0</v>
      </c>
      <c r="B124" s="1332">
        <v>124</v>
      </c>
      <c r="C124" s="1329" t="s">
        <v>1967</v>
      </c>
      <c r="D124" s="951"/>
      <c r="E124" s="951"/>
      <c r="F124" s="951"/>
      <c r="G124" s="951"/>
    </row>
    <row r="125" spans="1:7">
      <c r="A125" s="948" t="str">
        <f>Nachweis!B8</f>
        <v xml:space="preserve">  </v>
      </c>
      <c r="B125" s="947">
        <v>125</v>
      </c>
      <c r="C125" s="939" t="s">
        <v>1122</v>
      </c>
    </row>
    <row r="126" spans="1:7">
      <c r="A126" s="948">
        <f>INDEX(Standardwerte!$AN$108:$AN$155,Nachweis!M8,1)</f>
        <v>0</v>
      </c>
      <c r="B126" s="947">
        <v>126</v>
      </c>
      <c r="C126" s="939" t="s">
        <v>3576</v>
      </c>
    </row>
    <row r="127" spans="1:7">
      <c r="A127" s="948" t="str">
        <f>Nachweis!B12</f>
        <v xml:space="preserve">  </v>
      </c>
      <c r="B127" s="947">
        <v>127</v>
      </c>
      <c r="C127" s="939" t="s">
        <v>1123</v>
      </c>
    </row>
    <row r="128" spans="1:7">
      <c r="A128" s="948">
        <f>INDEX(Standardwerte!$AN$108:$AN$155,Nachweis!M12,1)</f>
        <v>0</v>
      </c>
      <c r="B128" s="947">
        <v>128</v>
      </c>
      <c r="C128" s="1614" t="s">
        <v>3579</v>
      </c>
    </row>
    <row r="129" spans="1:3">
      <c r="A129" s="948" t="str">
        <f>Nachweis!B16</f>
        <v xml:space="preserve">  </v>
      </c>
      <c r="B129" s="947">
        <v>129</v>
      </c>
      <c r="C129" s="939" t="s">
        <v>1124</v>
      </c>
    </row>
    <row r="130" spans="1:3">
      <c r="A130" s="948">
        <f>INDEX(Standardwerte!$AN$108:$AN$155,Nachweis!M16,1)</f>
        <v>0</v>
      </c>
      <c r="B130" s="947">
        <v>130</v>
      </c>
      <c r="C130" s="1614" t="s">
        <v>3578</v>
      </c>
    </row>
    <row r="131" spans="1:3">
      <c r="A131" s="948">
        <f>Nachweis!B20</f>
        <v>0</v>
      </c>
      <c r="B131" s="947">
        <v>131</v>
      </c>
      <c r="C131" s="939" t="s">
        <v>1125</v>
      </c>
    </row>
    <row r="132" spans="1:3">
      <c r="A132" s="948">
        <f>INDEX(Standardwerte!$AN$108:$AN$155,Nachweis!M20,1)</f>
        <v>0</v>
      </c>
      <c r="B132" s="947">
        <v>132</v>
      </c>
      <c r="C132" s="1614" t="s">
        <v>3577</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20</v>
      </c>
      <c r="B140" s="947">
        <v>140</v>
      </c>
      <c r="C140" s="939" t="s">
        <v>1133</v>
      </c>
    </row>
    <row r="141" spans="1:3">
      <c r="A141" s="948">
        <f>Nachweis!J16</f>
        <v>0</v>
      </c>
      <c r="B141" s="947">
        <v>141</v>
      </c>
      <c r="C141" s="939" t="s">
        <v>1134</v>
      </c>
    </row>
    <row r="142" spans="1:3">
      <c r="A142" s="948">
        <f>Nachweis!L16</f>
        <v>80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1970</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1971</v>
      </c>
    </row>
    <row r="205" spans="1:3">
      <c r="A205" s="948">
        <f>Nachweis!H43</f>
        <v>0</v>
      </c>
      <c r="B205" s="947">
        <v>205</v>
      </c>
      <c r="C205" s="1328" t="s">
        <v>1972</v>
      </c>
    </row>
    <row r="206" spans="1:3">
      <c r="A206" s="948">
        <f>Nachweis!I43</f>
        <v>0</v>
      </c>
      <c r="B206" s="947">
        <v>206</v>
      </c>
      <c r="C206" s="1328" t="s">
        <v>1973</v>
      </c>
    </row>
    <row r="207" spans="1:3">
      <c r="A207" s="948">
        <f>Nachweis!J43</f>
        <v>0</v>
      </c>
      <c r="B207" s="947">
        <v>207</v>
      </c>
      <c r="C207" s="1328" t="s">
        <v>1974</v>
      </c>
    </row>
    <row r="208" spans="1:3">
      <c r="A208" s="948">
        <f>Nachweis!L43</f>
        <v>0</v>
      </c>
      <c r="B208" s="947">
        <v>208</v>
      </c>
      <c r="C208" s="1328" t="s">
        <v>1186</v>
      </c>
    </row>
    <row r="209" spans="1:8">
      <c r="A209" s="948">
        <f>Nachweis!G58</f>
        <v>0</v>
      </c>
      <c r="B209" s="947">
        <v>209</v>
      </c>
      <c r="C209" s="1328" t="s">
        <v>1977</v>
      </c>
    </row>
    <row r="210" spans="1:8">
      <c r="A210" s="948">
        <f>MINERGIE_Wert</f>
        <v>0</v>
      </c>
      <c r="B210" s="947">
        <v>210</v>
      </c>
      <c r="C210" s="1328" t="s">
        <v>1978</v>
      </c>
    </row>
    <row r="211" spans="1:8">
      <c r="A211" s="948" t="str">
        <f>Nachweis!L58</f>
        <v/>
      </c>
      <c r="B211" s="947">
        <v>211</v>
      </c>
      <c r="C211" s="1328" t="s">
        <v>1975</v>
      </c>
    </row>
    <row r="212" spans="1:8">
      <c r="A212" s="948">
        <f>IF(A211="",0,IF(A211=0,1,VLOOKUP(A211,MINERGIE!$N$11:$P$13,3,FALSE))-1)</f>
        <v>0</v>
      </c>
      <c r="B212" s="947">
        <v>212</v>
      </c>
      <c r="C212" s="1328" t="s">
        <v>2117</v>
      </c>
    </row>
    <row r="213" spans="1:8">
      <c r="A213" s="948">
        <f>Nachweis!L60</f>
        <v>0</v>
      </c>
      <c r="B213" s="947">
        <v>213</v>
      </c>
      <c r="C213" s="1328" t="s">
        <v>1202</v>
      </c>
    </row>
    <row r="214" spans="1:8">
      <c r="A214" s="948">
        <f>IF(A213=0,1,VLOOKUP(A213,MINERGIE!$N$11:$P$13,3,FALSE))-1</f>
        <v>0</v>
      </c>
      <c r="B214" s="947">
        <v>214</v>
      </c>
      <c r="C214" s="1331" t="s">
        <v>2118</v>
      </c>
      <c r="D214" s="1324"/>
      <c r="E214" s="1324"/>
      <c r="F214" s="1324"/>
      <c r="G214" s="1324"/>
    </row>
    <row r="215" spans="1:8">
      <c r="A215" s="948">
        <f>Nachweis!G59</f>
        <v>0</v>
      </c>
      <c r="B215" s="947">
        <v>215</v>
      </c>
      <c r="C215" s="1328" t="s">
        <v>1979</v>
      </c>
    </row>
    <row r="216" spans="1:8">
      <c r="A216" s="948">
        <f>Nachweis!I59</f>
        <v>0</v>
      </c>
      <c r="B216" s="947">
        <v>216</v>
      </c>
      <c r="C216" s="1328" t="s">
        <v>1980</v>
      </c>
    </row>
    <row r="217" spans="1:8">
      <c r="A217" s="948" t="str">
        <f>Nachweis!L59</f>
        <v/>
      </c>
      <c r="B217" s="947">
        <v>217</v>
      </c>
      <c r="C217" s="1328" t="s">
        <v>1981</v>
      </c>
    </row>
    <row r="218" spans="1:8">
      <c r="A218" s="948">
        <f>IF(A217="",0,IF(A217=0,1,VLOOKUP(A217,MINERGIE!$N$11:$P$13,3,FALSE))-1)</f>
        <v>0</v>
      </c>
      <c r="B218" s="947">
        <v>218</v>
      </c>
      <c r="C218" s="1328" t="s">
        <v>2119</v>
      </c>
    </row>
    <row r="219" spans="1:8">
      <c r="A219" s="948">
        <f>Nachweis!G44</f>
        <v>0</v>
      </c>
      <c r="B219" s="947">
        <v>219</v>
      </c>
      <c r="C219" s="1328" t="s">
        <v>1982</v>
      </c>
    </row>
    <row r="220" spans="1:8">
      <c r="A220" s="948">
        <f>Nachweis!H44</f>
        <v>0</v>
      </c>
      <c r="B220" s="947">
        <v>220</v>
      </c>
      <c r="C220" s="1328" t="s">
        <v>1983</v>
      </c>
    </row>
    <row r="221" spans="1:8">
      <c r="A221" s="948">
        <f>Nachweis!I44</f>
        <v>0</v>
      </c>
      <c r="B221" s="947">
        <v>221</v>
      </c>
      <c r="C221" s="1328" t="s">
        <v>1984</v>
      </c>
    </row>
    <row r="222" spans="1:8">
      <c r="A222" s="950">
        <f>Nachweis!J44</f>
        <v>0</v>
      </c>
      <c r="B222" s="1332">
        <v>222</v>
      </c>
      <c r="C222" s="1329" t="s">
        <v>1985</v>
      </c>
      <c r="D222" s="951"/>
      <c r="E222" s="951"/>
      <c r="F222" s="951"/>
      <c r="G222" s="951"/>
      <c r="H222" s="951"/>
    </row>
    <row r="223" spans="1:8">
      <c r="A223" s="948">
        <f>MINERGIE!F19</f>
        <v>0</v>
      </c>
      <c r="B223" s="947">
        <v>223</v>
      </c>
      <c r="C223" s="939" t="s">
        <v>1986</v>
      </c>
    </row>
    <row r="224" spans="1:8">
      <c r="A224" s="948">
        <f>IF(A223=0,1,VLOOKUP(A223,MINERGIE!$N$11:$P$13,3,FALSE))-1</f>
        <v>0</v>
      </c>
      <c r="B224" s="947">
        <v>224</v>
      </c>
      <c r="C224" s="939" t="s">
        <v>2120</v>
      </c>
    </row>
    <row r="225" spans="1:3">
      <c r="A225" s="948">
        <f>MINERGIE!G19</f>
        <v>0</v>
      </c>
      <c r="B225" s="947">
        <v>225</v>
      </c>
      <c r="C225" s="939" t="s">
        <v>1987</v>
      </c>
    </row>
    <row r="226" spans="1:3">
      <c r="A226" s="948">
        <f>IF(A225=0,1,VLOOKUP(A225,MINERGIE!$N$11:$P$13,3,FALSE))-1</f>
        <v>0</v>
      </c>
      <c r="B226" s="947">
        <v>226</v>
      </c>
      <c r="C226" s="939" t="s">
        <v>2123</v>
      </c>
    </row>
    <row r="227" spans="1:3">
      <c r="A227" s="948">
        <f>MINERGIE!H19</f>
        <v>0</v>
      </c>
      <c r="B227" s="947">
        <v>227</v>
      </c>
      <c r="C227" s="939" t="s">
        <v>1988</v>
      </c>
    </row>
    <row r="228" spans="1:3">
      <c r="A228" s="948">
        <f>IF(A227=0,1,VLOOKUP(A227,MINERGIE!$N$11:$P$13,3,FALSE))-1</f>
        <v>0</v>
      </c>
      <c r="B228" s="947">
        <v>228</v>
      </c>
      <c r="C228" s="939" t="s">
        <v>2122</v>
      </c>
    </row>
    <row r="229" spans="1:3">
      <c r="A229" s="948">
        <f>MINERGIE!I19</f>
        <v>0</v>
      </c>
      <c r="B229" s="947">
        <v>229</v>
      </c>
      <c r="C229" s="939" t="s">
        <v>1989</v>
      </c>
    </row>
    <row r="230" spans="1:3">
      <c r="A230" s="948">
        <f>IF(A229=0,1,VLOOKUP(A229,MINERGIE!$N$11:$P$13,3,FALSE))-1</f>
        <v>0</v>
      </c>
      <c r="B230" s="947">
        <v>230</v>
      </c>
      <c r="C230" s="939" t="s">
        <v>2121</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1990</v>
      </c>
    </row>
    <row r="240" spans="1:3">
      <c r="A240" s="948">
        <f>MINERGIE!P25</f>
        <v>0</v>
      </c>
      <c r="B240" s="947">
        <v>240</v>
      </c>
      <c r="C240" s="939" t="s">
        <v>1992</v>
      </c>
    </row>
    <row r="241" spans="1:3">
      <c r="A241" s="948">
        <f>MINERGIE!Q25</f>
        <v>0</v>
      </c>
      <c r="B241" s="947">
        <v>241</v>
      </c>
      <c r="C241" s="939" t="s">
        <v>1993</v>
      </c>
    </row>
    <row r="242" spans="1:3">
      <c r="A242" s="948">
        <f>MINERGIE!R25</f>
        <v>0</v>
      </c>
      <c r="B242" s="947">
        <v>242</v>
      </c>
      <c r="C242" s="939" t="s">
        <v>1991</v>
      </c>
    </row>
    <row r="243" spans="1:3">
      <c r="A243" s="948">
        <f>MINERGIE!F33</f>
        <v>0</v>
      </c>
      <c r="B243" s="947">
        <v>243</v>
      </c>
      <c r="C243" s="939" t="s">
        <v>1995</v>
      </c>
    </row>
    <row r="244" spans="1:3">
      <c r="A244" s="948">
        <f>IF(A243=0,1,VLOOKUP(A243,MINERGIE!$N$11:$P$13,3,FALSE))-1</f>
        <v>0</v>
      </c>
      <c r="B244" s="947">
        <v>244</v>
      </c>
      <c r="C244" s="939" t="s">
        <v>2124</v>
      </c>
    </row>
    <row r="245" spans="1:3">
      <c r="A245" s="948">
        <f>MINERGIE!G33</f>
        <v>0</v>
      </c>
      <c r="B245" s="947">
        <v>245</v>
      </c>
      <c r="C245" s="939" t="s">
        <v>1997</v>
      </c>
    </row>
    <row r="246" spans="1:3">
      <c r="A246" s="948">
        <f>IF(A245=0,1,VLOOKUP(A245,MINERGIE!$N$11:$P$13,3,FALSE))-1</f>
        <v>0</v>
      </c>
      <c r="B246" s="947">
        <v>246</v>
      </c>
      <c r="C246" s="939" t="s">
        <v>2125</v>
      </c>
    </row>
    <row r="247" spans="1:3">
      <c r="A247" s="948">
        <f>MINERGIE!H33</f>
        <v>0</v>
      </c>
      <c r="B247" s="947">
        <v>247</v>
      </c>
      <c r="C247" s="939" t="s">
        <v>1998</v>
      </c>
    </row>
    <row r="248" spans="1:3">
      <c r="A248" s="948">
        <f>IF(A247=0,1,VLOOKUP(A247,MINERGIE!$N$11:$P$13,3,FALSE))-1</f>
        <v>0</v>
      </c>
      <c r="B248" s="947">
        <v>248</v>
      </c>
      <c r="C248" s="939" t="s">
        <v>2126</v>
      </c>
    </row>
    <row r="249" spans="1:3">
      <c r="A249" s="948">
        <f>MINERGIE!I33</f>
        <v>0</v>
      </c>
      <c r="B249" s="947">
        <v>249</v>
      </c>
      <c r="C249" s="939" t="s">
        <v>1996</v>
      </c>
    </row>
    <row r="250" spans="1:3">
      <c r="A250" s="948">
        <f>IF(A249=0,1,VLOOKUP(A249,MINERGIE!$N$11:$P$13,3,FALSE))-1</f>
        <v>0</v>
      </c>
      <c r="B250" s="947">
        <v>250</v>
      </c>
      <c r="C250" s="939" t="s">
        <v>2127</v>
      </c>
    </row>
    <row r="251" spans="1:3">
      <c r="A251" s="948">
        <f>MINERGIE!F34</f>
        <v>0</v>
      </c>
      <c r="B251" s="947">
        <v>251</v>
      </c>
      <c r="C251" s="1328" t="s">
        <v>3961</v>
      </c>
    </row>
    <row r="252" spans="1:3">
      <c r="A252" s="948">
        <f>IF(A251=0,1,VLOOKUP(A251,MINERGIE!$N$11:$P$13,3,FALSE))-1</f>
        <v>0</v>
      </c>
      <c r="B252" s="947">
        <v>252</v>
      </c>
      <c r="C252" s="1328" t="s">
        <v>3962</v>
      </c>
    </row>
    <row r="253" spans="1:3">
      <c r="A253" s="948">
        <f>MINERGIE!G34</f>
        <v>0</v>
      </c>
      <c r="B253" s="947">
        <v>253</v>
      </c>
      <c r="C253" s="1328" t="s">
        <v>3963</v>
      </c>
    </row>
    <row r="254" spans="1:3">
      <c r="A254" s="948">
        <f>IF(A253=0,1,VLOOKUP(A253,MINERGIE!$N$11:$P$13,3,FALSE))-1</f>
        <v>0</v>
      </c>
      <c r="B254" s="947">
        <v>254</v>
      </c>
      <c r="C254" s="1328" t="s">
        <v>3964</v>
      </c>
    </row>
    <row r="255" spans="1:3">
      <c r="A255" s="948">
        <f>MINERGIE!H34</f>
        <v>0</v>
      </c>
      <c r="B255" s="947">
        <v>255</v>
      </c>
      <c r="C255" s="1328" t="s">
        <v>3965</v>
      </c>
    </row>
    <row r="256" spans="1:3">
      <c r="A256" s="948">
        <f>IF(A255=0,1,VLOOKUP(A255,MINERGIE!$N$11:$P$13,3,FALSE))-1</f>
        <v>0</v>
      </c>
      <c r="B256" s="947">
        <v>256</v>
      </c>
      <c r="C256" s="1328" t="s">
        <v>3966</v>
      </c>
    </row>
    <row r="257" spans="1:4">
      <c r="A257" s="948">
        <f>MINERGIE!I34</f>
        <v>0</v>
      </c>
      <c r="B257" s="947">
        <v>257</v>
      </c>
      <c r="C257" s="1328" t="s">
        <v>3967</v>
      </c>
    </row>
    <row r="258" spans="1:4">
      <c r="A258" s="948">
        <f>IF(A257=0,1,VLOOKUP(A257,MINERGIE!$N$11:$P$13,3,FALSE))-1</f>
        <v>0</v>
      </c>
      <c r="B258" s="947">
        <v>258</v>
      </c>
      <c r="C258" s="1328" t="s">
        <v>3968</v>
      </c>
    </row>
    <row r="259" spans="1:4">
      <c r="A259" s="948">
        <f>MINERGIE!F35</f>
        <v>0</v>
      </c>
      <c r="B259" s="947">
        <v>259</v>
      </c>
      <c r="C259" s="1328" t="s">
        <v>3969</v>
      </c>
    </row>
    <row r="260" spans="1:4">
      <c r="A260" s="948">
        <f>IF(A259=0,1,VLOOKUP(A259,MINERGIE!$N$11:$P$13,3,FALSE))-1</f>
        <v>0</v>
      </c>
      <c r="B260" s="947">
        <v>260</v>
      </c>
      <c r="C260" s="1328" t="s">
        <v>3970</v>
      </c>
      <c r="D260" s="1323"/>
    </row>
    <row r="261" spans="1:4">
      <c r="A261" s="948">
        <f>MINERGIE!G35</f>
        <v>0</v>
      </c>
      <c r="B261" s="947">
        <v>261</v>
      </c>
      <c r="C261" s="1328" t="s">
        <v>3971</v>
      </c>
    </row>
    <row r="262" spans="1:4">
      <c r="A262" s="948">
        <f>IF(A261=0,1,VLOOKUP(A261,MINERGIE!$N$11:$P$13,3,FALSE))-1</f>
        <v>0</v>
      </c>
      <c r="B262" s="947">
        <v>262</v>
      </c>
      <c r="C262" s="1328" t="s">
        <v>3972</v>
      </c>
    </row>
    <row r="263" spans="1:4">
      <c r="A263" s="948">
        <f>MINERGIE!H35</f>
        <v>0</v>
      </c>
      <c r="B263" s="947">
        <v>263</v>
      </c>
      <c r="C263" s="1328" t="s">
        <v>3973</v>
      </c>
    </row>
    <row r="264" spans="1:4">
      <c r="A264" s="948">
        <f>IF(A263=0,1,VLOOKUP(A263,MINERGIE!$N$11:$P$13,3,FALSE))-1</f>
        <v>0</v>
      </c>
      <c r="B264" s="947">
        <v>264</v>
      </c>
      <c r="C264" s="1328" t="s">
        <v>3974</v>
      </c>
    </row>
    <row r="265" spans="1:4">
      <c r="A265" s="947">
        <f>MINERGIE!I35</f>
        <v>0</v>
      </c>
      <c r="B265" s="947">
        <v>265</v>
      </c>
      <c r="C265" s="1328" t="s">
        <v>3975</v>
      </c>
    </row>
    <row r="266" spans="1:4">
      <c r="A266" s="948">
        <f>IF(A265=0,1,VLOOKUP(A265,MINERGIE!$N$11:$P$13,3,FALSE))-1</f>
        <v>0</v>
      </c>
      <c r="B266" s="947">
        <v>266</v>
      </c>
      <c r="C266" s="1328" t="s">
        <v>3976</v>
      </c>
    </row>
    <row r="267" spans="1:4">
      <c r="A267" s="948">
        <f>MINERGIE!F37</f>
        <v>0</v>
      </c>
      <c r="B267" s="947">
        <v>267</v>
      </c>
      <c r="C267" s="1328" t="s">
        <v>3977</v>
      </c>
    </row>
    <row r="268" spans="1:4">
      <c r="A268" s="948">
        <f>IF(A267=0,1,VLOOKUP(A267,MINERGIE!$N$11:$P$13,3,FALSE))-1</f>
        <v>0</v>
      </c>
      <c r="B268" s="947">
        <v>268</v>
      </c>
      <c r="C268" s="1328" t="s">
        <v>3978</v>
      </c>
    </row>
    <row r="269" spans="1:4">
      <c r="A269" s="948">
        <f>MINERGIE!G37</f>
        <v>0</v>
      </c>
      <c r="B269" s="947">
        <v>269</v>
      </c>
      <c r="C269" s="1328" t="s">
        <v>3979</v>
      </c>
    </row>
    <row r="270" spans="1:4">
      <c r="A270" s="948">
        <f>IF(A269=0,1,VLOOKUP(A269,MINERGIE!$N$11:$P$13,3,FALSE))-1</f>
        <v>0</v>
      </c>
      <c r="B270" s="947">
        <v>270</v>
      </c>
      <c r="C270" s="1328" t="s">
        <v>3980</v>
      </c>
    </row>
    <row r="271" spans="1:4">
      <c r="A271" s="948">
        <f>MINERGIE!H37</f>
        <v>0</v>
      </c>
      <c r="B271" s="947">
        <v>271</v>
      </c>
      <c r="C271" s="1328" t="s">
        <v>3981</v>
      </c>
    </row>
    <row r="272" spans="1:4">
      <c r="A272" s="948">
        <f>IF(A271=0,1,VLOOKUP(A271,MINERGIE!$N$11:$P$13,3,FALSE))-1</f>
        <v>0</v>
      </c>
      <c r="B272" s="947">
        <v>272</v>
      </c>
      <c r="C272" s="1328" t="s">
        <v>3982</v>
      </c>
    </row>
    <row r="273" spans="1:4">
      <c r="A273" s="947">
        <f>MINERGIE!I37</f>
        <v>0</v>
      </c>
      <c r="B273" s="947">
        <v>273</v>
      </c>
      <c r="C273" s="1328" t="s">
        <v>3983</v>
      </c>
    </row>
    <row r="274" spans="1:4">
      <c r="A274" s="948">
        <f>IF(A273=0,1,VLOOKUP(A273,MINERGIE!$N$11:$P$13,3,FALSE))-1</f>
        <v>0</v>
      </c>
      <c r="B274" s="947">
        <v>274</v>
      </c>
      <c r="C274" s="1328" t="s">
        <v>3984</v>
      </c>
    </row>
    <row r="275" spans="1:4">
      <c r="A275" s="948">
        <f>MINERGIE!F38</f>
        <v>0</v>
      </c>
      <c r="B275" s="947">
        <v>275</v>
      </c>
      <c r="C275" s="1328" t="s">
        <v>1999</v>
      </c>
      <c r="D275" s="1323"/>
    </row>
    <row r="276" spans="1:4">
      <c r="A276" s="948">
        <f>IF(A275=0,1,VLOOKUP(A275,MINERGIE!$N$11:$P$13,3,FALSE))-1</f>
        <v>0</v>
      </c>
      <c r="B276" s="947">
        <v>276</v>
      </c>
      <c r="C276" s="1328" t="s">
        <v>2128</v>
      </c>
    </row>
    <row r="277" spans="1:4">
      <c r="A277" s="948">
        <f>MINERGIE!G38</f>
        <v>0</v>
      </c>
      <c r="B277" s="947">
        <v>277</v>
      </c>
      <c r="C277" s="1328" t="s">
        <v>2000</v>
      </c>
    </row>
    <row r="278" spans="1:4">
      <c r="A278" s="948">
        <f>IF(A277=0,1,VLOOKUP(A277,MINERGIE!$N$11:$P$13,3,FALSE))-1</f>
        <v>0</v>
      </c>
      <c r="B278" s="947">
        <v>278</v>
      </c>
      <c r="C278" s="1328" t="s">
        <v>2129</v>
      </c>
    </row>
    <row r="279" spans="1:4">
      <c r="A279" s="948">
        <f>MINERGIE!H38</f>
        <v>0</v>
      </c>
      <c r="B279" s="947">
        <v>279</v>
      </c>
      <c r="C279" s="1328" t="s">
        <v>2001</v>
      </c>
    </row>
    <row r="280" spans="1:4">
      <c r="A280" s="948">
        <f>IF(A279=0,1,VLOOKUP(A279,MINERGIE!$N$11:$P$13,3,FALSE))-1</f>
        <v>0</v>
      </c>
      <c r="B280" s="947">
        <v>280</v>
      </c>
      <c r="C280" s="1328" t="s">
        <v>2130</v>
      </c>
    </row>
    <row r="281" spans="1:4">
      <c r="A281" s="948">
        <f>MINERGIE!I38</f>
        <v>0</v>
      </c>
      <c r="B281" s="947">
        <v>281</v>
      </c>
      <c r="C281" s="1328" t="s">
        <v>2002</v>
      </c>
    </row>
    <row r="282" spans="1:4">
      <c r="A282" s="948">
        <f>IF(A281=0,1,VLOOKUP(A281,MINERGIE!$N$11:$P$13,3,FALSE))-1</f>
        <v>0</v>
      </c>
      <c r="B282" s="947">
        <v>282</v>
      </c>
      <c r="C282" s="1328" t="s">
        <v>2131</v>
      </c>
    </row>
    <row r="283" spans="1:4">
      <c r="A283" s="948">
        <f>MINERGIE!F39</f>
        <v>0</v>
      </c>
      <c r="B283" s="947">
        <v>283</v>
      </c>
      <c r="C283" s="1328" t="s">
        <v>2003</v>
      </c>
    </row>
    <row r="284" spans="1:4">
      <c r="A284" s="948">
        <f>IF(A283=0,1,VLOOKUP(A283,MINERGIE!$N$11:$P$13,3,FALSE))-1</f>
        <v>0</v>
      </c>
      <c r="B284" s="947">
        <v>284</v>
      </c>
      <c r="C284" s="1328" t="s">
        <v>2132</v>
      </c>
    </row>
    <row r="285" spans="1:4">
      <c r="A285" s="948">
        <f>MINERGIE!G39</f>
        <v>0</v>
      </c>
      <c r="B285" s="947">
        <v>285</v>
      </c>
      <c r="C285" s="1328" t="s">
        <v>2004</v>
      </c>
    </row>
    <row r="286" spans="1:4">
      <c r="A286" s="948">
        <f>IF(A285=0,1,VLOOKUP(A285,MINERGIE!$N$11:$P$13,3,FALSE))-1</f>
        <v>0</v>
      </c>
      <c r="B286" s="947">
        <v>286</v>
      </c>
      <c r="C286" s="1328" t="s">
        <v>2133</v>
      </c>
    </row>
    <row r="287" spans="1:4">
      <c r="A287" s="948">
        <f>MINERGIE!H39</f>
        <v>0</v>
      </c>
      <c r="B287" s="947">
        <v>287</v>
      </c>
      <c r="C287" s="1328" t="s">
        <v>2005</v>
      </c>
    </row>
    <row r="288" spans="1:4">
      <c r="A288" s="948">
        <f>IF(A287=0,1,VLOOKUP(A287,MINERGIE!$N$11:$P$13,3,FALSE))-1</f>
        <v>0</v>
      </c>
      <c r="B288" s="947">
        <v>288</v>
      </c>
      <c r="C288" s="1328" t="s">
        <v>2134</v>
      </c>
    </row>
    <row r="289" spans="1:5">
      <c r="A289" s="948">
        <f>MINERGIE!I39</f>
        <v>0</v>
      </c>
      <c r="B289" s="947">
        <v>289</v>
      </c>
      <c r="C289" s="1328" t="s">
        <v>2006</v>
      </c>
    </row>
    <row r="290" spans="1:5">
      <c r="A290" s="948">
        <f>IF(A289=0,1,VLOOKUP(A289,MINERGIE!$N$11:$P$13,3,FALSE))-1</f>
        <v>0</v>
      </c>
      <c r="B290" s="947">
        <v>290</v>
      </c>
      <c r="C290" s="1328" t="s">
        <v>2135</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3775</v>
      </c>
      <c r="D299" s="1323"/>
    </row>
    <row r="300" spans="1:5">
      <c r="A300" s="948">
        <f>IF(A299=0,1,VLOOKUP(A299,MINERGIE!$N$11:$P$13,3,FALSE))-1</f>
        <v>0</v>
      </c>
      <c r="B300" s="947">
        <v>300</v>
      </c>
      <c r="C300" s="1328" t="s">
        <v>3776</v>
      </c>
    </row>
    <row r="301" spans="1:5">
      <c r="A301" s="948">
        <f>MINERGIE!G40</f>
        <v>0</v>
      </c>
      <c r="B301" s="947">
        <v>301</v>
      </c>
      <c r="C301" s="1328" t="s">
        <v>3777</v>
      </c>
    </row>
    <row r="302" spans="1:5">
      <c r="A302" s="948">
        <f>IF(A301=0,1,VLOOKUP(A301,MINERGIE!$N$11:$P$13,3,FALSE))-1</f>
        <v>0</v>
      </c>
      <c r="B302" s="947">
        <v>302</v>
      </c>
      <c r="C302" s="1328" t="s">
        <v>3778</v>
      </c>
    </row>
    <row r="303" spans="1:5">
      <c r="A303" s="948">
        <f>MINERGIE!H40</f>
        <v>0</v>
      </c>
      <c r="B303" s="947">
        <v>303</v>
      </c>
      <c r="C303" s="1328" t="s">
        <v>3779</v>
      </c>
    </row>
    <row r="304" spans="1:5">
      <c r="A304" s="948">
        <f>IF(A303=0,1,VLOOKUP(A303,MINERGIE!$N$11:$P$13,3,FALSE))-1</f>
        <v>0</v>
      </c>
      <c r="B304" s="947">
        <v>304</v>
      </c>
      <c r="C304" s="1328" t="s">
        <v>3780</v>
      </c>
    </row>
    <row r="305" spans="1:5">
      <c r="A305" s="948">
        <f>MINERGIE!I40</f>
        <v>0</v>
      </c>
      <c r="B305" s="947">
        <v>305</v>
      </c>
      <c r="C305" s="1328" t="s">
        <v>3781</v>
      </c>
    </row>
    <row r="306" spans="1:5">
      <c r="A306" s="948">
        <f>IF(A305=0,1,VLOOKUP(A305,MINERGIE!$N$11:$P$13,3,FALSE))-1</f>
        <v>0</v>
      </c>
      <c r="B306" s="947">
        <v>306</v>
      </c>
      <c r="C306" s="1328" t="s">
        <v>3782</v>
      </c>
    </row>
    <row r="307" spans="1:5">
      <c r="A307" s="948">
        <f>MINERGIE!F44</f>
        <v>0</v>
      </c>
      <c r="B307" s="947">
        <v>307</v>
      </c>
      <c r="C307" s="1328" t="s">
        <v>2007</v>
      </c>
      <c r="D307" s="1323"/>
    </row>
    <row r="308" spans="1:5">
      <c r="A308" s="948">
        <f>IF(A307=0,1,VLOOKUP(A307,MINERGIE!$N$11:$P$13,3,FALSE))-1</f>
        <v>0</v>
      </c>
      <c r="B308" s="947">
        <v>308</v>
      </c>
      <c r="C308" s="1328" t="s">
        <v>2136</v>
      </c>
    </row>
    <row r="309" spans="1:5">
      <c r="A309" s="948">
        <f>MINERGIE!G44</f>
        <v>0</v>
      </c>
      <c r="B309" s="947">
        <v>309</v>
      </c>
      <c r="C309" s="1328" t="s">
        <v>2008</v>
      </c>
    </row>
    <row r="310" spans="1:5">
      <c r="A310" s="948">
        <f>IF(A309=0,1,VLOOKUP(A309,MINERGIE!$N$11:$P$13,3,FALSE))-1</f>
        <v>0</v>
      </c>
      <c r="B310" s="947">
        <v>310</v>
      </c>
      <c r="C310" s="1328" t="s">
        <v>2137</v>
      </c>
    </row>
    <row r="311" spans="1:5">
      <c r="A311" s="948">
        <f>MINERGIE!H44</f>
        <v>0</v>
      </c>
      <c r="B311" s="947">
        <v>311</v>
      </c>
      <c r="C311" s="1328" t="s">
        <v>2009</v>
      </c>
    </row>
    <row r="312" spans="1:5">
      <c r="A312" s="948">
        <f>IF(A311=0,1,VLOOKUP(A311,MINERGIE!$N$11:$P$13,3,FALSE))-1</f>
        <v>0</v>
      </c>
      <c r="B312" s="947">
        <v>312</v>
      </c>
      <c r="C312" s="1328" t="s">
        <v>2138</v>
      </c>
    </row>
    <row r="313" spans="1:5">
      <c r="A313" s="948">
        <f>MINERGIE!I44</f>
        <v>0</v>
      </c>
      <c r="B313" s="947">
        <v>313</v>
      </c>
      <c r="C313" s="1328" t="s">
        <v>2010</v>
      </c>
    </row>
    <row r="314" spans="1:5">
      <c r="A314" s="948">
        <f>IF(A313=0,1,VLOOKUP(A313,MINERGIE!$N$11:$P$13,3,FALSE))-1</f>
        <v>0</v>
      </c>
      <c r="B314" s="947">
        <v>314</v>
      </c>
      <c r="C314" s="1328" t="s">
        <v>2139</v>
      </c>
    </row>
    <row r="315" spans="1:5">
      <c r="A315" s="948">
        <f>MINERGIE!F46</f>
        <v>0</v>
      </c>
      <c r="B315" s="947">
        <v>315</v>
      </c>
      <c r="C315" s="1328" t="s">
        <v>2011</v>
      </c>
      <c r="D315" s="1323"/>
    </row>
    <row r="316" spans="1:5">
      <c r="A316" s="948">
        <f>IF(A315=0,1,VLOOKUP(A315,MINERGIE!$N$11:$P$13,3,FALSE))-1</f>
        <v>0</v>
      </c>
      <c r="B316" s="947">
        <v>316</v>
      </c>
      <c r="C316" s="1328" t="s">
        <v>2140</v>
      </c>
      <c r="D316" s="1323"/>
      <c r="E316" s="1323"/>
    </row>
    <row r="317" spans="1:5">
      <c r="A317" s="948">
        <f>MINERGIE!G46</f>
        <v>0</v>
      </c>
      <c r="B317" s="947">
        <v>317</v>
      </c>
      <c r="C317" s="1328" t="s">
        <v>2012</v>
      </c>
    </row>
    <row r="318" spans="1:5">
      <c r="A318" s="948">
        <f>IF(A317=0,1,VLOOKUP(A317,MINERGIE!$N$11:$P$13,3,FALSE))-1</f>
        <v>0</v>
      </c>
      <c r="B318" s="947">
        <v>318</v>
      </c>
      <c r="C318" s="1328" t="s">
        <v>2141</v>
      </c>
    </row>
    <row r="319" spans="1:5">
      <c r="A319" s="948">
        <f>MINERGIE!H46</f>
        <v>0</v>
      </c>
      <c r="B319" s="947">
        <v>319</v>
      </c>
      <c r="C319" s="1328" t="s">
        <v>2013</v>
      </c>
    </row>
    <row r="320" spans="1:5">
      <c r="A320" s="948">
        <f>IF(A319=0,1,VLOOKUP(A319,MINERGIE!$N$11:$P$13,3,FALSE))-1</f>
        <v>0</v>
      </c>
      <c r="B320" s="947">
        <v>320</v>
      </c>
      <c r="C320" s="1328" t="s">
        <v>2142</v>
      </c>
    </row>
    <row r="321" spans="1:4">
      <c r="A321" s="948">
        <f>MINERGIE!I46</f>
        <v>0</v>
      </c>
      <c r="B321" s="947">
        <v>321</v>
      </c>
      <c r="C321" s="1328" t="s">
        <v>2014</v>
      </c>
    </row>
    <row r="322" spans="1:4">
      <c r="A322" s="948">
        <f>IF(A321=0,1,VLOOKUP(A321,MINERGIE!$N$11:$P$13,3,FALSE))-1</f>
        <v>0</v>
      </c>
      <c r="B322" s="947">
        <v>322</v>
      </c>
      <c r="C322" s="1328" t="s">
        <v>2143</v>
      </c>
    </row>
    <row r="323" spans="1:4">
      <c r="A323" s="948">
        <f>MINERGIE!F47</f>
        <v>0</v>
      </c>
      <c r="B323" s="947">
        <v>323</v>
      </c>
      <c r="C323" s="1328" t="s">
        <v>2015</v>
      </c>
      <c r="D323" s="1323"/>
    </row>
    <row r="324" spans="1:4">
      <c r="A324" s="948">
        <f>IF(A323=0,1,VLOOKUP(A323,MINERGIE!$N$11:$P$13,3,FALSE))-1</f>
        <v>0</v>
      </c>
      <c r="B324" s="947">
        <v>324</v>
      </c>
      <c r="C324" s="1328" t="s">
        <v>2144</v>
      </c>
    </row>
    <row r="325" spans="1:4">
      <c r="A325" s="948">
        <f>MINERGIE!G47</f>
        <v>0</v>
      </c>
      <c r="B325" s="947">
        <v>325</v>
      </c>
      <c r="C325" s="1328" t="s">
        <v>2016</v>
      </c>
    </row>
    <row r="326" spans="1:4">
      <c r="A326" s="948">
        <f>IF(A325=0,1,VLOOKUP(A325,MINERGIE!$N$11:$P$13,3,FALSE))-1</f>
        <v>0</v>
      </c>
      <c r="B326" s="947">
        <v>326</v>
      </c>
      <c r="C326" s="1328" t="s">
        <v>2145</v>
      </c>
    </row>
    <row r="327" spans="1:4">
      <c r="A327" s="948">
        <f>MINERGIE!H47</f>
        <v>0</v>
      </c>
      <c r="B327" s="947">
        <v>327</v>
      </c>
      <c r="C327" s="1328" t="s">
        <v>2017</v>
      </c>
    </row>
    <row r="328" spans="1:4">
      <c r="A328" s="948">
        <f>IF(A327=0,1,VLOOKUP(A327,MINERGIE!$N$11:$P$13,3,FALSE))-1</f>
        <v>0</v>
      </c>
      <c r="B328" s="947">
        <v>328</v>
      </c>
      <c r="C328" s="1328" t="s">
        <v>2146</v>
      </c>
    </row>
    <row r="329" spans="1:4">
      <c r="A329" s="948">
        <f>MINERGIE!I47</f>
        <v>0</v>
      </c>
      <c r="B329" s="947">
        <v>329</v>
      </c>
      <c r="C329" s="1328" t="s">
        <v>2018</v>
      </c>
    </row>
    <row r="330" spans="1:4">
      <c r="A330" s="948">
        <f>IF(A329=0,1,VLOOKUP(A329,MINERGIE!$N$11:$P$13,3,FALSE))-1</f>
        <v>0</v>
      </c>
      <c r="B330" s="947">
        <v>330</v>
      </c>
      <c r="C330" s="1328" t="s">
        <v>2147</v>
      </c>
    </row>
    <row r="331" spans="1:4">
      <c r="A331" s="948">
        <f>MINERGIE!O92</f>
        <v>0</v>
      </c>
      <c r="B331" s="947">
        <v>331</v>
      </c>
      <c r="C331" s="1328" t="s">
        <v>2019</v>
      </c>
    </row>
    <row r="332" spans="1:4">
      <c r="A332" s="948">
        <f>MINERGIE!P92</f>
        <v>0</v>
      </c>
      <c r="B332" s="947">
        <v>332</v>
      </c>
      <c r="C332" s="1328" t="s">
        <v>2021</v>
      </c>
    </row>
    <row r="333" spans="1:4">
      <c r="A333" s="948">
        <f>MINERGIE!Q92</f>
        <v>0</v>
      </c>
      <c r="B333" s="947">
        <v>333</v>
      </c>
      <c r="C333" s="1328" t="s">
        <v>2022</v>
      </c>
    </row>
    <row r="334" spans="1:4">
      <c r="A334" s="948">
        <f>MINERGIE!R92</f>
        <v>0</v>
      </c>
      <c r="B334" s="947">
        <v>334</v>
      </c>
      <c r="C334" s="1328" t="s">
        <v>2023</v>
      </c>
    </row>
    <row r="335" spans="1:4">
      <c r="A335" s="948">
        <f>MINERGIE!O93</f>
        <v>0</v>
      </c>
      <c r="B335" s="947">
        <v>335</v>
      </c>
      <c r="C335" s="1328" t="s">
        <v>2020</v>
      </c>
    </row>
    <row r="336" spans="1:4">
      <c r="A336" s="948">
        <f>MINERGIE!P93</f>
        <v>0</v>
      </c>
      <c r="B336" s="947">
        <v>336</v>
      </c>
      <c r="C336" s="1328" t="s">
        <v>2024</v>
      </c>
    </row>
    <row r="337" spans="1:5">
      <c r="A337" s="948">
        <f>MINERGIE!Q93</f>
        <v>0</v>
      </c>
      <c r="B337" s="947">
        <v>337</v>
      </c>
      <c r="C337" s="1328" t="s">
        <v>2025</v>
      </c>
    </row>
    <row r="338" spans="1:5">
      <c r="A338" s="948">
        <f>MINERGIE!R93</f>
        <v>0</v>
      </c>
      <c r="B338" s="947">
        <v>338</v>
      </c>
      <c r="C338" s="1328" t="s">
        <v>2026</v>
      </c>
    </row>
    <row r="339" spans="1:5">
      <c r="A339" s="948" t="str">
        <f>MINERGIE!D50</f>
        <v/>
      </c>
      <c r="B339" s="947">
        <v>339</v>
      </c>
      <c r="C339" s="1328" t="s">
        <v>1812</v>
      </c>
      <c r="D339" s="1323"/>
    </row>
    <row r="340" spans="1:5">
      <c r="A340" s="948">
        <f>IF(OR(A339=0,A339=""),1,VLOOKUP(A339,MINERGIE!$Q$11:$S$13,3,FALSE))-1</f>
        <v>0</v>
      </c>
      <c r="B340" s="947">
        <v>340</v>
      </c>
      <c r="C340" s="1328" t="s">
        <v>2148</v>
      </c>
    </row>
    <row r="341" spans="1:5">
      <c r="A341" s="948">
        <f>MINERGIE!E117</f>
        <v>0</v>
      </c>
      <c r="B341" s="947">
        <v>341</v>
      </c>
      <c r="C341" s="1328" t="s">
        <v>2425</v>
      </c>
    </row>
    <row r="342" spans="1:5">
      <c r="A342" s="948">
        <f>MINERGIE!H117</f>
        <v>0</v>
      </c>
      <c r="B342" s="947">
        <v>342</v>
      </c>
      <c r="C342" s="1328" t="s">
        <v>2027</v>
      </c>
      <c r="D342" s="1323"/>
    </row>
    <row r="343" spans="1:5">
      <c r="A343" s="948">
        <f>MINERGIE!G117</f>
        <v>800</v>
      </c>
      <c r="B343" s="947">
        <v>343</v>
      </c>
      <c r="C343" s="1328" t="s">
        <v>2028</v>
      </c>
    </row>
    <row r="344" spans="1:5">
      <c r="A344" s="948">
        <f>MINERGIE!K117</f>
        <v>0</v>
      </c>
      <c r="B344" s="947">
        <v>344</v>
      </c>
      <c r="C344" s="1328" t="s">
        <v>2029</v>
      </c>
      <c r="D344" s="1323"/>
      <c r="E344" s="1323"/>
    </row>
    <row r="345" spans="1:5">
      <c r="A345" s="948">
        <f>MINERGIE!I117</f>
        <v>0.2</v>
      </c>
      <c r="B345" s="947">
        <v>345</v>
      </c>
      <c r="C345" s="1328" t="s">
        <v>2030</v>
      </c>
    </row>
    <row r="346" spans="1:5">
      <c r="A346" s="948">
        <f>MINERGIE!E118</f>
        <v>0</v>
      </c>
      <c r="B346" s="947">
        <v>346</v>
      </c>
      <c r="C346" s="1328" t="s">
        <v>2424</v>
      </c>
    </row>
    <row r="347" spans="1:5">
      <c r="A347" s="953">
        <f>MINERGIE!E119</f>
        <v>0</v>
      </c>
      <c r="B347" s="947">
        <v>347</v>
      </c>
      <c r="C347" s="1328" t="s">
        <v>2423</v>
      </c>
    </row>
    <row r="348" spans="1:5">
      <c r="A348" s="948" t="str">
        <f>MINERGIE!I119</f>
        <v/>
      </c>
      <c r="B348" s="947">
        <v>348</v>
      </c>
      <c r="C348" s="1328" t="s">
        <v>2426</v>
      </c>
    </row>
    <row r="349" spans="1:5">
      <c r="A349" s="948">
        <f>IF(OR(A348=0,A348=""),1,VLOOKUP(A348,MINERGIE!$N$11:$P$13,3,FALSE))-1</f>
        <v>0</v>
      </c>
      <c r="B349" s="947">
        <v>349</v>
      </c>
      <c r="C349" s="1328" t="s">
        <v>2427</v>
      </c>
    </row>
    <row r="350" spans="1:5">
      <c r="A350" s="1325">
        <f>MINERGIE!I63</f>
        <v>0</v>
      </c>
      <c r="B350" s="947">
        <v>350</v>
      </c>
      <c r="C350" s="1328" t="s">
        <v>1925</v>
      </c>
      <c r="D350" s="1323"/>
    </row>
    <row r="351" spans="1:5">
      <c r="A351" s="948">
        <f>IF(A350=0,1,VLOOKUP(A350,MINERGIE!$N$11:$P$13,3,FALSE))-1</f>
        <v>0</v>
      </c>
      <c r="B351" s="947">
        <v>351</v>
      </c>
      <c r="C351" s="1328" t="s">
        <v>2149</v>
      </c>
    </row>
    <row r="352" spans="1:5">
      <c r="A352" s="1325">
        <f>MINERGIE!J63</f>
        <v>0</v>
      </c>
      <c r="B352" s="947">
        <v>352</v>
      </c>
      <c r="C352" s="1328" t="s">
        <v>2031</v>
      </c>
    </row>
    <row r="353" spans="1:6">
      <c r="B353" s="947">
        <v>353</v>
      </c>
      <c r="C353" s="1328" t="s">
        <v>2032</v>
      </c>
    </row>
    <row r="354" spans="1:6">
      <c r="A354" s="1325">
        <f>MINERGIE!I64</f>
        <v>0</v>
      </c>
      <c r="B354" s="947">
        <v>354</v>
      </c>
      <c r="C354" s="1328" t="s">
        <v>1926</v>
      </c>
    </row>
    <row r="355" spans="1:6">
      <c r="A355" s="948">
        <f>IF(A354=0,1,VLOOKUP(A354,MINERGIE!$N$11:$P$13,3,FALSE))-1</f>
        <v>0</v>
      </c>
      <c r="B355" s="947">
        <v>355</v>
      </c>
      <c r="C355" s="1328" t="s">
        <v>2150</v>
      </c>
    </row>
    <row r="356" spans="1:6">
      <c r="A356" s="948" t="str">
        <f>MINERGIE!K64</f>
        <v>1.6 m3/hm2</v>
      </c>
      <c r="B356" s="947">
        <v>356</v>
      </c>
      <c r="C356" s="1328" t="s">
        <v>2033</v>
      </c>
    </row>
    <row r="357" spans="1:6">
      <c r="A357" s="948">
        <f>MINERGIE!J64</f>
        <v>0</v>
      </c>
      <c r="B357" s="947">
        <v>357</v>
      </c>
      <c r="C357" s="1328" t="s">
        <v>2034</v>
      </c>
    </row>
    <row r="358" spans="1:6">
      <c r="A358" s="1325">
        <f>MINERGIE!I65</f>
        <v>0</v>
      </c>
      <c r="B358" s="947">
        <v>358</v>
      </c>
      <c r="C358" s="1328" t="s">
        <v>2035</v>
      </c>
    </row>
    <row r="359" spans="1:6">
      <c r="A359" s="948">
        <f>IF(A358=0,1,VLOOKUP(A358,MINERGIE!$N$11:$P$13,3,FALSE))-1</f>
        <v>0</v>
      </c>
      <c r="B359" s="947">
        <v>359</v>
      </c>
      <c r="C359" s="1328" t="s">
        <v>2151</v>
      </c>
    </row>
    <row r="360" spans="1:6">
      <c r="A360" s="948">
        <f>MINERGIE!J65</f>
        <v>0</v>
      </c>
      <c r="B360" s="947">
        <v>360</v>
      </c>
      <c r="C360" s="1328" t="s">
        <v>2036</v>
      </c>
    </row>
    <row r="361" spans="1:6">
      <c r="A361" s="948">
        <f>IF(A360=0,1,VLOOKUP(A360,MINERGIE!$Q$11:$S$13,3,FALSE))-1</f>
        <v>0</v>
      </c>
      <c r="B361" s="947">
        <v>361</v>
      </c>
      <c r="C361" s="1328" t="s">
        <v>2154</v>
      </c>
    </row>
    <row r="362" spans="1:6">
      <c r="A362" s="1325">
        <f>MINERGIE!I66</f>
        <v>0</v>
      </c>
      <c r="B362" s="947">
        <v>362</v>
      </c>
      <c r="C362" s="1328" t="s">
        <v>2037</v>
      </c>
    </row>
    <row r="363" spans="1:6">
      <c r="A363" s="948">
        <f>IF(A362=0,1,VLOOKUP(A362,MINERGIE!$N$11:$P$13,3,FALSE))-1</f>
        <v>0</v>
      </c>
      <c r="B363" s="947">
        <v>363</v>
      </c>
      <c r="C363" s="1328" t="s">
        <v>2153</v>
      </c>
    </row>
    <row r="364" spans="1:6">
      <c r="A364" s="948">
        <f>MINERGIE!K66</f>
        <v>0</v>
      </c>
      <c r="B364" s="947">
        <v>364</v>
      </c>
      <c r="C364" s="1328" t="s">
        <v>2038</v>
      </c>
    </row>
    <row r="365" spans="1:6">
      <c r="A365" s="948">
        <f>IF(A364=0,1,VLOOKUP(A364,MINERGIE!$Q$11:$S$13,3,FALSE))-1</f>
        <v>0</v>
      </c>
      <c r="B365" s="947">
        <v>365</v>
      </c>
      <c r="C365" s="1328" t="s">
        <v>2152</v>
      </c>
    </row>
    <row r="366" spans="1:6">
      <c r="A366" s="1325">
        <f>MINERGIE!I67</f>
        <v>0</v>
      </c>
      <c r="B366" s="947">
        <v>366</v>
      </c>
      <c r="C366" s="1328" t="s">
        <v>37</v>
      </c>
      <c r="D366" s="1323"/>
      <c r="E366" s="1323"/>
      <c r="F366" s="1323"/>
    </row>
    <row r="367" spans="1:6">
      <c r="A367" s="948">
        <f>IF(A366=0,1,VLOOKUP(A366,MINERGIE!$N$11:$P$13,3,FALSE))-1</f>
        <v>0</v>
      </c>
      <c r="B367" s="947">
        <v>367</v>
      </c>
      <c r="C367" s="1328" t="s">
        <v>2155</v>
      </c>
    </row>
    <row r="368" spans="1:6">
      <c r="A368" s="1325">
        <f>MINERGIE!I68</f>
        <v>0</v>
      </c>
      <c r="B368" s="947">
        <v>368</v>
      </c>
      <c r="C368" s="1328" t="s">
        <v>1808</v>
      </c>
      <c r="D368" s="1323"/>
      <c r="E368" s="1323"/>
      <c r="F368" s="1323"/>
    </row>
    <row r="369" spans="1:9">
      <c r="A369" s="948">
        <f>IF(A368=0,1,VLOOKUP(A368,MINERGIE!$N$11:$P$13,3,FALSE))-1</f>
        <v>0</v>
      </c>
      <c r="B369" s="947">
        <v>369</v>
      </c>
      <c r="C369" s="1328" t="s">
        <v>2156</v>
      </c>
    </row>
    <row r="370" spans="1:9">
      <c r="A370" s="1325">
        <f>MINERGIE!I69</f>
        <v>0</v>
      </c>
      <c r="B370" s="947">
        <v>370</v>
      </c>
      <c r="C370" s="1328" t="s">
        <v>2039</v>
      </c>
    </row>
    <row r="371" spans="1:9">
      <c r="A371" s="948">
        <f>IF(A370=0,1,VLOOKUP(A370,MINERGIE!$N$11:$P$13,3,FALSE))-1</f>
        <v>0</v>
      </c>
      <c r="B371" s="947">
        <v>371</v>
      </c>
      <c r="C371" s="1328" t="s">
        <v>2157</v>
      </c>
    </row>
    <row r="372" spans="1:9">
      <c r="A372" s="948">
        <f>MINERGIE!J69</f>
        <v>0</v>
      </c>
      <c r="B372" s="947">
        <v>372</v>
      </c>
      <c r="C372" s="1328" t="s">
        <v>2040</v>
      </c>
    </row>
    <row r="373" spans="1:9">
      <c r="A373" s="948">
        <f>IF(A372=0,1,VLOOKUP(A372,MINERGIE!$Q$11:$S$13,3,FALSE))-1</f>
        <v>0</v>
      </c>
      <c r="B373" s="947">
        <v>373</v>
      </c>
      <c r="C373" s="1328" t="s">
        <v>2158</v>
      </c>
    </row>
    <row r="374" spans="1:9">
      <c r="A374" s="1325">
        <f>MINERGIE!I70</f>
        <v>0</v>
      </c>
      <c r="B374" s="947">
        <v>374</v>
      </c>
      <c r="C374" s="1328" t="s">
        <v>1934</v>
      </c>
    </row>
    <row r="375" spans="1:9">
      <c r="A375" s="948">
        <f>IF(A374=0,1,VLOOKUP(A374,MINERGIE!$N$11:$P$13,3,FALSE))-1</f>
        <v>0</v>
      </c>
      <c r="B375" s="947">
        <v>375</v>
      </c>
      <c r="C375" s="1328" t="s">
        <v>2159</v>
      </c>
    </row>
    <row r="376" spans="1:9">
      <c r="A376" s="1325">
        <f>MINERGIE!I71</f>
        <v>0</v>
      </c>
      <c r="B376" s="947">
        <v>376</v>
      </c>
      <c r="C376" s="1328" t="s">
        <v>1931</v>
      </c>
    </row>
    <row r="377" spans="1:9">
      <c r="A377" s="948">
        <f>IF(A376=0,1,VLOOKUP(A376,MINERGIE!$N$11:$P$13,3,FALSE))-1</f>
        <v>0</v>
      </c>
      <c r="B377" s="947">
        <v>377</v>
      </c>
      <c r="C377" s="1328" t="s">
        <v>2160</v>
      </c>
    </row>
    <row r="378" spans="1:9">
      <c r="A378" s="948">
        <f>MINERGIE!J71</f>
        <v>0</v>
      </c>
      <c r="B378" s="947">
        <v>378</v>
      </c>
      <c r="C378" s="1328" t="s">
        <v>2041</v>
      </c>
    </row>
    <row r="379" spans="1:9">
      <c r="A379" s="950">
        <f>IF(A378=0,1,VLOOKUP(A378,MINERGIE!$Q$11:$S$13,3,FALSE))-1</f>
        <v>0</v>
      </c>
      <c r="B379" s="1332">
        <v>379</v>
      </c>
      <c r="C379" s="1329" t="s">
        <v>2161</v>
      </c>
      <c r="D379" s="951"/>
      <c r="E379" s="951"/>
      <c r="F379" s="951"/>
      <c r="G379" s="951"/>
    </row>
    <row r="380" spans="1:9">
      <c r="A380" s="948">
        <f>Sommer!I19</f>
        <v>0</v>
      </c>
      <c r="B380" s="947">
        <v>380</v>
      </c>
      <c r="C380" s="1328" t="s">
        <v>2043</v>
      </c>
      <c r="D380" s="1323"/>
      <c r="E380" s="1323"/>
      <c r="F380" s="1323"/>
      <c r="G380" s="1323"/>
      <c r="H380" s="1323"/>
      <c r="I380" s="1323"/>
    </row>
    <row r="381" spans="1:9">
      <c r="A381" s="1326">
        <f>IF(A380=0,1,VLOOKUP(A380,Sommer!$Q$11:$R$15,2,FALSE))-1</f>
        <v>0</v>
      </c>
      <c r="B381" s="947">
        <v>381</v>
      </c>
      <c r="C381" s="1328" t="s">
        <v>2163</v>
      </c>
    </row>
    <row r="382" spans="1:9">
      <c r="A382" s="948">
        <f>Sommer!J19</f>
        <v>0</v>
      </c>
      <c r="B382" s="947">
        <v>382</v>
      </c>
      <c r="C382" s="1328" t="s">
        <v>2042</v>
      </c>
    </row>
    <row r="383" spans="1:9">
      <c r="A383" s="1326">
        <f>IF(A382=0,1,VLOOKUP(A382,Sommer!$Q$11:$R$15,2,FALSE))-1</f>
        <v>0</v>
      </c>
      <c r="B383" s="947">
        <v>383</v>
      </c>
      <c r="C383" s="1328" t="s">
        <v>2164</v>
      </c>
    </row>
    <row r="384" spans="1:9">
      <c r="A384" s="948">
        <f>Sommer!K19</f>
        <v>0</v>
      </c>
      <c r="B384" s="947">
        <v>384</v>
      </c>
      <c r="C384" s="1328" t="s">
        <v>2044</v>
      </c>
    </row>
    <row r="385" spans="1:3">
      <c r="A385" s="1326">
        <f>IF(A384=0,1,VLOOKUP(A384,Sommer!$Q$11:$R$15,2,FALSE))-1</f>
        <v>0</v>
      </c>
      <c r="B385" s="947">
        <v>385</v>
      </c>
      <c r="C385" s="1328" t="s">
        <v>2165</v>
      </c>
    </row>
    <row r="386" spans="1:3">
      <c r="A386" s="948">
        <f>Sommer!L19</f>
        <v>0</v>
      </c>
      <c r="B386" s="947">
        <v>386</v>
      </c>
      <c r="C386" s="1328" t="s">
        <v>2045</v>
      </c>
    </row>
    <row r="387" spans="1:3">
      <c r="A387" s="1326">
        <f>IF(A386=0,1,VLOOKUP(A386,Sommer!$Q$11:$R$15,2,FALSE))-1</f>
        <v>0</v>
      </c>
      <c r="B387" s="947">
        <v>387</v>
      </c>
      <c r="C387" s="1328" t="s">
        <v>2162</v>
      </c>
    </row>
    <row r="388" spans="1:3">
      <c r="A388" s="948">
        <f>Sommer!B20</f>
        <v>0</v>
      </c>
      <c r="B388" s="947">
        <v>388</v>
      </c>
      <c r="C388" s="1328" t="s">
        <v>2046</v>
      </c>
    </row>
    <row r="389" spans="1:3">
      <c r="A389" s="948">
        <f>Sommer!I21</f>
        <v>0</v>
      </c>
      <c r="B389" s="947">
        <v>389</v>
      </c>
      <c r="C389" s="1328" t="s">
        <v>3324</v>
      </c>
    </row>
    <row r="390" spans="1:3">
      <c r="A390" s="1326">
        <f>IF(A389=0,1,VLOOKUP(A389,Sommer!$P$11:$S$14,4,FALSE))-1</f>
        <v>0</v>
      </c>
      <c r="B390" s="947">
        <v>390</v>
      </c>
      <c r="C390" s="1328" t="s">
        <v>3325</v>
      </c>
    </row>
    <row r="391" spans="1:3">
      <c r="A391" s="948">
        <f>Sommer!J21</f>
        <v>0</v>
      </c>
      <c r="B391" s="947">
        <v>391</v>
      </c>
      <c r="C391" s="1328" t="s">
        <v>3326</v>
      </c>
    </row>
    <row r="392" spans="1:3">
      <c r="A392" s="1326">
        <f>IF(A391=0,1,VLOOKUP(A391,Sommer!$P$11:$S$14,4,FALSE))-1</f>
        <v>0</v>
      </c>
      <c r="B392" s="947">
        <v>392</v>
      </c>
      <c r="C392" s="1328" t="s">
        <v>3327</v>
      </c>
    </row>
    <row r="393" spans="1:3">
      <c r="A393" s="948">
        <f>Sommer!K21</f>
        <v>0</v>
      </c>
      <c r="B393" s="947">
        <v>393</v>
      </c>
      <c r="C393" s="1328" t="s">
        <v>3328</v>
      </c>
    </row>
    <row r="394" spans="1:3">
      <c r="A394" s="1326">
        <f>IF(A393=0,1,VLOOKUP(A393,Sommer!$P$11:$S$14,4,FALSE))-1</f>
        <v>0</v>
      </c>
      <c r="B394" s="947">
        <v>394</v>
      </c>
      <c r="C394" s="1328" t="s">
        <v>3329</v>
      </c>
    </row>
    <row r="395" spans="1:3">
      <c r="A395" s="948">
        <f>Sommer!L21</f>
        <v>0</v>
      </c>
      <c r="B395" s="947">
        <v>395</v>
      </c>
      <c r="C395" s="1328" t="s">
        <v>3330</v>
      </c>
    </row>
    <row r="396" spans="1:3">
      <c r="A396" s="1326">
        <f>IF(A395=0,1,VLOOKUP(A395,Sommer!$P$11:$S$14,4,FALSE))-1</f>
        <v>0</v>
      </c>
      <c r="B396" s="947">
        <v>396</v>
      </c>
      <c r="C396" s="1328" t="s">
        <v>3331</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3348</v>
      </c>
    </row>
    <row r="406" spans="1:3">
      <c r="A406" s="1326">
        <f>IF(A405=0,1,VLOOKUP(A405,Sommer!$P$11:$S$14,4,FALSE))-1</f>
        <v>0</v>
      </c>
      <c r="B406" s="947">
        <v>406</v>
      </c>
      <c r="C406" s="1328" t="s">
        <v>3349</v>
      </c>
    </row>
    <row r="407" spans="1:3">
      <c r="A407" s="948">
        <f>Sommer!J23</f>
        <v>0</v>
      </c>
      <c r="B407" s="947">
        <v>407</v>
      </c>
      <c r="C407" s="1328" t="s">
        <v>3350</v>
      </c>
    </row>
    <row r="408" spans="1:3">
      <c r="A408" s="1326">
        <f>IF(A407=0,1,VLOOKUP(A407,Sommer!$P$11:$S$14,4,FALSE))-1</f>
        <v>0</v>
      </c>
      <c r="B408" s="947">
        <v>408</v>
      </c>
      <c r="C408" s="1328" t="s">
        <v>3351</v>
      </c>
    </row>
    <row r="409" spans="1:3">
      <c r="A409" s="948">
        <f>Sommer!K23</f>
        <v>0</v>
      </c>
      <c r="B409" s="947">
        <v>409</v>
      </c>
      <c r="C409" s="1328" t="s">
        <v>3352</v>
      </c>
    </row>
    <row r="410" spans="1:3">
      <c r="A410" s="1326">
        <f>IF(A409=0,1,VLOOKUP(A409,Sommer!$P$11:$S$14,4,FALSE))-1</f>
        <v>0</v>
      </c>
      <c r="B410" s="947">
        <v>410</v>
      </c>
      <c r="C410" s="1328" t="s">
        <v>3353</v>
      </c>
    </row>
    <row r="411" spans="1:3">
      <c r="A411" s="948">
        <f>Sommer!L23</f>
        <v>0</v>
      </c>
      <c r="B411" s="947">
        <v>411</v>
      </c>
      <c r="C411" s="1328" t="s">
        <v>3354</v>
      </c>
    </row>
    <row r="412" spans="1:3">
      <c r="A412" s="1326">
        <f>IF(A411=0,1,VLOOKUP(A411,Sommer!$P$11:$S$14,4,FALSE))-1</f>
        <v>0</v>
      </c>
      <c r="B412" s="947">
        <v>412</v>
      </c>
      <c r="C412" s="1328" t="s">
        <v>3355</v>
      </c>
    </row>
    <row r="413" spans="1:3">
      <c r="A413" s="948">
        <f>Sommer!I25</f>
        <v>0</v>
      </c>
      <c r="B413" s="947">
        <v>413</v>
      </c>
      <c r="C413" s="1328" t="s">
        <v>3340</v>
      </c>
    </row>
    <row r="414" spans="1:3">
      <c r="A414" s="1326">
        <f>IF(A413=0,1,VLOOKUP(A413,Sommer!$P$11:$S$14,4,FALSE))-1</f>
        <v>0</v>
      </c>
      <c r="B414" s="947">
        <v>414</v>
      </c>
      <c r="C414" s="1328" t="s">
        <v>3341</v>
      </c>
    </row>
    <row r="415" spans="1:3">
      <c r="A415" s="948">
        <f>Sommer!J25</f>
        <v>0</v>
      </c>
      <c r="B415" s="947">
        <v>415</v>
      </c>
      <c r="C415" s="1328" t="s">
        <v>3342</v>
      </c>
    </row>
    <row r="416" spans="1:3">
      <c r="A416" s="1326">
        <f>IF(A415=0,1,VLOOKUP(A415,Sommer!$P$11:$S$14,4,FALSE))-1</f>
        <v>0</v>
      </c>
      <c r="B416" s="947">
        <v>416</v>
      </c>
      <c r="C416" s="1328" t="s">
        <v>3343</v>
      </c>
    </row>
    <row r="417" spans="1:9">
      <c r="A417" s="948">
        <f>Sommer!K25</f>
        <v>0</v>
      </c>
      <c r="B417" s="947">
        <v>417</v>
      </c>
      <c r="C417" s="1328" t="s">
        <v>3344</v>
      </c>
    </row>
    <row r="418" spans="1:9">
      <c r="A418" s="1326">
        <f>IF(A417=0,1,VLOOKUP(A417,Sommer!$P$11:$S$14,4,FALSE))-1</f>
        <v>0</v>
      </c>
      <c r="B418" s="947">
        <v>418</v>
      </c>
      <c r="C418" s="1328" t="s">
        <v>3345</v>
      </c>
    </row>
    <row r="419" spans="1:9">
      <c r="A419" s="948">
        <f>Sommer!L25</f>
        <v>0</v>
      </c>
      <c r="B419" s="947">
        <v>419</v>
      </c>
      <c r="C419" s="1328" t="s">
        <v>3346</v>
      </c>
    </row>
    <row r="420" spans="1:9">
      <c r="A420" s="1326">
        <f>IF(A419=0,1,VLOOKUP(A419,Sommer!$P$11:$S$14,4,FALSE))-1</f>
        <v>0</v>
      </c>
      <c r="B420" s="947">
        <v>420</v>
      </c>
      <c r="C420" s="1328" t="s">
        <v>3347</v>
      </c>
    </row>
    <row r="421" spans="1:9">
      <c r="A421" s="948">
        <f>Sommer!I27</f>
        <v>0</v>
      </c>
      <c r="B421" s="947">
        <v>421</v>
      </c>
      <c r="C421" s="1328" t="s">
        <v>3332</v>
      </c>
      <c r="D421" s="1323"/>
      <c r="E421" s="1323"/>
      <c r="F421" s="1323"/>
      <c r="G421" s="1323"/>
      <c r="H421" s="1323"/>
      <c r="I421" s="1323"/>
    </row>
    <row r="422" spans="1:9">
      <c r="A422" s="1326">
        <f>IF(A421=0,1,VLOOKUP(A421,Sommer!$P$11:$S$14,4,FALSE))-1</f>
        <v>0</v>
      </c>
      <c r="B422" s="947">
        <v>422</v>
      </c>
      <c r="C422" s="1328" t="s">
        <v>3336</v>
      </c>
    </row>
    <row r="423" spans="1:9">
      <c r="A423" s="948">
        <f>Sommer!J27</f>
        <v>0</v>
      </c>
      <c r="B423" s="947">
        <v>423</v>
      </c>
      <c r="C423" s="1328" t="s">
        <v>3335</v>
      </c>
    </row>
    <row r="424" spans="1:9">
      <c r="A424" s="1326">
        <f>IF(A423=0,1,VLOOKUP(A423,Sommer!$P$11:$S$14,4,FALSE))-1</f>
        <v>0</v>
      </c>
      <c r="B424" s="947">
        <v>424</v>
      </c>
      <c r="C424" s="1328" t="s">
        <v>3339</v>
      </c>
    </row>
    <row r="425" spans="1:9">
      <c r="A425" s="948">
        <f>Sommer!K27</f>
        <v>0</v>
      </c>
      <c r="B425" s="947">
        <v>425</v>
      </c>
      <c r="C425" s="1328" t="s">
        <v>3334</v>
      </c>
    </row>
    <row r="426" spans="1:9">
      <c r="A426" s="1326">
        <f>IF(A425=0,1,VLOOKUP(A425,Sommer!$P$11:$S$14,4,FALSE))-1</f>
        <v>0</v>
      </c>
      <c r="B426" s="947">
        <v>426</v>
      </c>
      <c r="C426" s="1328" t="s">
        <v>3338</v>
      </c>
    </row>
    <row r="427" spans="1:9">
      <c r="A427" s="948">
        <f>Sommer!L27</f>
        <v>0</v>
      </c>
      <c r="B427" s="947">
        <v>427</v>
      </c>
      <c r="C427" s="1328" t="s">
        <v>3333</v>
      </c>
    </row>
    <row r="428" spans="1:9">
      <c r="A428" s="1326">
        <f>IF(A427=0,1,VLOOKUP(A427,Sommer!$P$11:$S$14,4,FALSE))-1</f>
        <v>0</v>
      </c>
      <c r="B428" s="947">
        <v>428</v>
      </c>
      <c r="C428" s="1328" t="s">
        <v>3337</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3315</v>
      </c>
      <c r="D437" s="1323"/>
      <c r="E437" s="1323"/>
      <c r="F437" s="1323"/>
      <c r="G437" s="1323"/>
      <c r="H437" s="1323"/>
    </row>
    <row r="438" spans="1:8">
      <c r="A438" s="1326">
        <f>IF(A437=0,1,VLOOKUP(A437,Sommer!$P$11:$S$14,4,FALSE))-1</f>
        <v>0</v>
      </c>
      <c r="B438" s="947">
        <v>438</v>
      </c>
      <c r="C438" s="1328" t="s">
        <v>3316</v>
      </c>
    </row>
    <row r="439" spans="1:8">
      <c r="A439" s="948">
        <f>Sommer!J35</f>
        <v>0</v>
      </c>
      <c r="B439" s="947">
        <v>439</v>
      </c>
      <c r="C439" s="1328" t="s">
        <v>3317</v>
      </c>
    </row>
    <row r="440" spans="1:8">
      <c r="A440" s="1326">
        <f>IF(A439=0,1,VLOOKUP(A439,Sommer!$P$11:$S$14,4,FALSE))-1</f>
        <v>0</v>
      </c>
      <c r="B440" s="947">
        <v>440</v>
      </c>
      <c r="C440" s="1328" t="s">
        <v>3318</v>
      </c>
    </row>
    <row r="441" spans="1:8">
      <c r="A441" s="948">
        <f>Sommer!K35</f>
        <v>0</v>
      </c>
      <c r="B441" s="947">
        <v>441</v>
      </c>
      <c r="C441" s="1328" t="s">
        <v>3319</v>
      </c>
    </row>
    <row r="442" spans="1:8">
      <c r="A442" s="1326">
        <f>IF(A441=0,1,VLOOKUP(A441,Sommer!$P$11:$S$14,4,FALSE))-1</f>
        <v>0</v>
      </c>
      <c r="B442" s="947">
        <v>442</v>
      </c>
      <c r="C442" s="1328" t="s">
        <v>3320</v>
      </c>
    </row>
    <row r="443" spans="1:8">
      <c r="A443" s="948">
        <f>Sommer!L35</f>
        <v>0</v>
      </c>
      <c r="B443" s="947">
        <v>443</v>
      </c>
      <c r="C443" s="1328" t="s">
        <v>3321</v>
      </c>
    </row>
    <row r="444" spans="1:8">
      <c r="A444" s="1326">
        <f>IF(A443=0,1,VLOOKUP(A443,Sommer!$P$11:$S$14,4,FALSE))-1</f>
        <v>0</v>
      </c>
      <c r="B444" s="947">
        <v>444</v>
      </c>
      <c r="C444" s="1328" t="s">
        <v>3322</v>
      </c>
    </row>
    <row r="445" spans="1:8">
      <c r="A445" s="948">
        <f>Sommer!B43</f>
        <v>0</v>
      </c>
      <c r="B445" s="947">
        <v>445</v>
      </c>
      <c r="C445" s="1328" t="s">
        <v>2047</v>
      </c>
    </row>
    <row r="446" spans="1:8">
      <c r="A446" s="1326">
        <f>Sommer!I47</f>
        <v>0</v>
      </c>
      <c r="B446" s="947">
        <v>446</v>
      </c>
      <c r="C446" s="1328" t="s">
        <v>2048</v>
      </c>
    </row>
    <row r="447" spans="1:8">
      <c r="A447" s="1326">
        <f>IF(A446=0,1,VLOOKUP(A446,Sommer!$P$11:$S$14,4,FALSE))-1</f>
        <v>0</v>
      </c>
      <c r="B447" s="947">
        <v>447</v>
      </c>
      <c r="C447" s="1328" t="s">
        <v>2171</v>
      </c>
    </row>
    <row r="448" spans="1:8">
      <c r="A448" s="948">
        <f>Sommer!J47</f>
        <v>0</v>
      </c>
      <c r="B448" s="947">
        <v>448</v>
      </c>
      <c r="C448" s="1328" t="s">
        <v>2049</v>
      </c>
    </row>
    <row r="449" spans="1:3">
      <c r="A449" s="1326">
        <f>IF(A448=0,1,VLOOKUP(A448,Sommer!$P$11:$S$14,4,FALSE))-1</f>
        <v>0</v>
      </c>
      <c r="B449" s="947">
        <v>449</v>
      </c>
      <c r="C449" s="1328" t="s">
        <v>2172</v>
      </c>
    </row>
    <row r="450" spans="1:3">
      <c r="A450" s="948">
        <f>Sommer!K47</f>
        <v>0</v>
      </c>
      <c r="B450" s="947">
        <v>450</v>
      </c>
      <c r="C450" s="1328" t="s">
        <v>2050</v>
      </c>
    </row>
    <row r="451" spans="1:3">
      <c r="A451" s="1326">
        <f>IF(A450=0,1,VLOOKUP(A450,Sommer!$P$11:$S$14,4,FALSE))-1</f>
        <v>0</v>
      </c>
      <c r="B451" s="947">
        <v>451</v>
      </c>
      <c r="C451" s="1328" t="s">
        <v>2173</v>
      </c>
    </row>
    <row r="452" spans="1:3">
      <c r="A452" s="948">
        <f>Sommer!L47</f>
        <v>0</v>
      </c>
      <c r="B452" s="947">
        <v>452</v>
      </c>
      <c r="C452" s="1328" t="s">
        <v>2051</v>
      </c>
    </row>
    <row r="453" spans="1:3">
      <c r="A453" s="1326">
        <f>IF(A452=0,1,VLOOKUP(A452,Sommer!$P$11:$S$14,4,FALSE))-1</f>
        <v>0</v>
      </c>
      <c r="B453" s="947">
        <v>453</v>
      </c>
      <c r="C453" s="1328" t="s">
        <v>2170</v>
      </c>
    </row>
    <row r="454" spans="1:3">
      <c r="A454" s="948">
        <f>Sommer!I48</f>
        <v>0</v>
      </c>
      <c r="B454" s="947">
        <v>454</v>
      </c>
      <c r="C454" s="1328" t="s">
        <v>2052</v>
      </c>
    </row>
    <row r="455" spans="1:3">
      <c r="A455" s="1326">
        <f>IF(A454=0,1,VLOOKUP(A454,Sommer!$P$11:$S$14,4,FALSE))-1</f>
        <v>0</v>
      </c>
      <c r="B455" s="947">
        <v>455</v>
      </c>
      <c r="C455" s="1328" t="s">
        <v>2169</v>
      </c>
    </row>
    <row r="456" spans="1:3">
      <c r="A456" s="948">
        <f>Sommer!J48</f>
        <v>0</v>
      </c>
      <c r="B456" s="947">
        <v>456</v>
      </c>
      <c r="C456" s="1328" t="s">
        <v>2053</v>
      </c>
    </row>
    <row r="457" spans="1:3">
      <c r="A457" s="1326">
        <f>IF(A456=0,1,VLOOKUP(A456,Sommer!$P$11:$S$14,4,FALSE))-1</f>
        <v>0</v>
      </c>
      <c r="B457" s="947">
        <v>457</v>
      </c>
      <c r="C457" s="1328" t="s">
        <v>2168</v>
      </c>
    </row>
    <row r="458" spans="1:3">
      <c r="A458" s="948">
        <f>Sommer!K48</f>
        <v>0</v>
      </c>
      <c r="B458" s="947">
        <v>458</v>
      </c>
      <c r="C458" s="1328" t="s">
        <v>2054</v>
      </c>
    </row>
    <row r="459" spans="1:3">
      <c r="A459" s="1326">
        <f>IF(A458=0,1,VLOOKUP(A458,Sommer!$P$11:$S$14,4,FALSE))-1</f>
        <v>0</v>
      </c>
      <c r="B459" s="947">
        <v>459</v>
      </c>
      <c r="C459" s="1328" t="s">
        <v>2167</v>
      </c>
    </row>
    <row r="460" spans="1:3">
      <c r="A460" s="948">
        <f>Sommer!L48</f>
        <v>0</v>
      </c>
      <c r="B460" s="947">
        <v>460</v>
      </c>
      <c r="C460" s="1328" t="s">
        <v>2055</v>
      </c>
    </row>
    <row r="461" spans="1:3">
      <c r="A461" s="1326">
        <f>IF(A460=0,1,VLOOKUP(A460,Sommer!$P$11:$S$14,4,FALSE))-1</f>
        <v>0</v>
      </c>
      <c r="B461" s="947">
        <v>461</v>
      </c>
      <c r="C461" s="1328" t="s">
        <v>2166</v>
      </c>
    </row>
    <row r="462" spans="1:3">
      <c r="A462" s="948">
        <f>IF(Kategorie1=1,0,Sommer!I52)</f>
        <v>0</v>
      </c>
      <c r="B462" s="947">
        <v>462</v>
      </c>
      <c r="C462" s="1328" t="s">
        <v>3372</v>
      </c>
    </row>
    <row r="463" spans="1:3">
      <c r="A463" s="1326">
        <f>IF(A462=0,1,VLOOKUP(A462,Sommer!$P$11:$S$14,4,FALSE))-1</f>
        <v>0</v>
      </c>
      <c r="B463" s="947">
        <v>463</v>
      </c>
      <c r="C463" s="1328" t="s">
        <v>3376</v>
      </c>
    </row>
    <row r="464" spans="1:3">
      <c r="A464" s="948">
        <f>IF(Kategorie2=1,0,Sommer!J52)</f>
        <v>0</v>
      </c>
      <c r="B464" s="947">
        <v>464</v>
      </c>
      <c r="C464" s="1328" t="s">
        <v>3373</v>
      </c>
    </row>
    <row r="465" spans="1:8">
      <c r="A465" s="1326">
        <f>IF(A464=0,1,VLOOKUP(A464,Sommer!$P$11:$S$14,4,FALSE))-1</f>
        <v>0</v>
      </c>
      <c r="B465" s="947">
        <v>465</v>
      </c>
      <c r="C465" s="1328" t="s">
        <v>3379</v>
      </c>
    </row>
    <row r="466" spans="1:8">
      <c r="A466" s="948">
        <f>IF(Kategorie3=1,0,Sommer!K52)</f>
        <v>0</v>
      </c>
      <c r="B466" s="947">
        <v>466</v>
      </c>
      <c r="C466" s="1328" t="s">
        <v>3374</v>
      </c>
    </row>
    <row r="467" spans="1:8">
      <c r="A467" s="1326">
        <f>IF(A466=0,1,VLOOKUP(A466,Sommer!$P$11:$S$14,4,FALSE))-1</f>
        <v>0</v>
      </c>
      <c r="B467" s="947">
        <v>467</v>
      </c>
      <c r="C467" s="1328" t="s">
        <v>3378</v>
      </c>
    </row>
    <row r="468" spans="1:8">
      <c r="A468" s="948">
        <f>IF(Kategorie4=1,0,Sommer!L52)</f>
        <v>0</v>
      </c>
      <c r="B468" s="947">
        <v>468</v>
      </c>
      <c r="C468" s="1328" t="s">
        <v>3375</v>
      </c>
    </row>
    <row r="469" spans="1:8">
      <c r="A469" s="950">
        <f>IF(A468=0,1,VLOOKUP(A468,Sommer!$P$11:$S$14,4,FALSE))-1</f>
        <v>0</v>
      </c>
      <c r="B469" s="1332">
        <v>469</v>
      </c>
      <c r="C469" s="1329" t="s">
        <v>3377</v>
      </c>
      <c r="D469" s="951"/>
      <c r="E469" s="951"/>
      <c r="F469" s="951"/>
      <c r="G469" s="951"/>
      <c r="H469" s="951"/>
    </row>
    <row r="470" spans="1:8">
      <c r="A470" s="948">
        <f>Uebersicht!F30</f>
        <v>0</v>
      </c>
      <c r="B470" s="947">
        <v>470</v>
      </c>
      <c r="C470" s="1328" t="s">
        <v>2057</v>
      </c>
    </row>
    <row r="471" spans="1:8">
      <c r="A471" s="948" t="b">
        <f>Uebersicht!H30</f>
        <v>0</v>
      </c>
      <c r="B471" s="947">
        <v>471</v>
      </c>
      <c r="C471" s="1328" t="s">
        <v>2063</v>
      </c>
    </row>
    <row r="472" spans="1:8">
      <c r="A472" s="953" t="str">
        <f>Uebersicht!K30</f>
        <v>Nein</v>
      </c>
      <c r="B472" s="947">
        <v>472</v>
      </c>
      <c r="C472" s="1328" t="s">
        <v>2058</v>
      </c>
    </row>
    <row r="473" spans="1:8">
      <c r="A473" s="1326">
        <f>IF(A472=0,1,VLOOKUP(A472,Sommer!$P$11:$S$14,4,FALSE))-1</f>
        <v>2</v>
      </c>
      <c r="B473" s="947">
        <v>473</v>
      </c>
      <c r="C473" s="1328" t="s">
        <v>2174</v>
      </c>
    </row>
    <row r="474" spans="1:8">
      <c r="A474" s="948" t="str">
        <f>Uebersicht!F31</f>
        <v>Keine Anforderungen</v>
      </c>
      <c r="B474" s="947">
        <v>474</v>
      </c>
      <c r="C474" s="1328" t="s">
        <v>2059</v>
      </c>
    </row>
    <row r="475" spans="1:8">
      <c r="A475" s="948">
        <f>Uebersicht!H31</f>
        <v>0</v>
      </c>
      <c r="B475" s="947">
        <v>475</v>
      </c>
      <c r="C475" s="1328" t="s">
        <v>2060</v>
      </c>
    </row>
    <row r="476" spans="1:8">
      <c r="A476" s="948">
        <f>Uebersicht!F37</f>
        <v>0</v>
      </c>
      <c r="B476" s="947">
        <v>476</v>
      </c>
      <c r="C476" s="1328" t="s">
        <v>2061</v>
      </c>
    </row>
    <row r="477" spans="1:8">
      <c r="A477" s="948">
        <f>Uebersicht!H37</f>
        <v>0</v>
      </c>
      <c r="B477" s="947">
        <v>477</v>
      </c>
      <c r="C477" s="1328" t="s">
        <v>2062</v>
      </c>
    </row>
    <row r="478" spans="1:8">
      <c r="A478" s="948">
        <f>Uebersicht!K37</f>
        <v>0</v>
      </c>
      <c r="B478" s="947">
        <v>478</v>
      </c>
      <c r="C478" s="1328" t="s">
        <v>2064</v>
      </c>
    </row>
    <row r="479" spans="1:8">
      <c r="A479" s="1326">
        <f>IF(A478=0,1,VLOOKUP(A478,Sommer!$P$11:$S$14,4,FALSE))-1</f>
        <v>0</v>
      </c>
      <c r="B479" s="947">
        <v>479</v>
      </c>
      <c r="C479" s="1328" t="s">
        <v>2175</v>
      </c>
    </row>
    <row r="480" spans="1:8">
      <c r="A480" s="948">
        <f>Uebersicht!F38</f>
        <v>0</v>
      </c>
      <c r="B480" s="947">
        <v>480</v>
      </c>
      <c r="C480" s="1328" t="s">
        <v>2065</v>
      </c>
    </row>
    <row r="481" spans="1:8">
      <c r="A481" s="948">
        <f>Uebersicht!H38</f>
        <v>0</v>
      </c>
      <c r="B481" s="947">
        <v>481</v>
      </c>
      <c r="C481" s="1328" t="s">
        <v>2066</v>
      </c>
    </row>
    <row r="482" spans="1:8">
      <c r="A482" s="948" t="str">
        <f>Uebersicht!K38</f>
        <v>Nein</v>
      </c>
      <c r="B482" s="947">
        <v>482</v>
      </c>
      <c r="C482" s="1328" t="s">
        <v>2067</v>
      </c>
    </row>
    <row r="483" spans="1:8">
      <c r="A483" s="1326">
        <f>IF(A482=0,1,VLOOKUP(A482,Sommer!$P$11:$S$14,4,FALSE))-1</f>
        <v>2</v>
      </c>
      <c r="B483" s="947">
        <v>483</v>
      </c>
      <c r="C483" s="1328" t="s">
        <v>2176</v>
      </c>
    </row>
    <row r="484" spans="1:8">
      <c r="A484" s="948">
        <f>Uebersicht!F39</f>
        <v>0</v>
      </c>
      <c r="B484" s="947">
        <v>484</v>
      </c>
      <c r="C484" s="1328" t="s">
        <v>2068</v>
      </c>
    </row>
    <row r="485" spans="1:8">
      <c r="A485" s="948">
        <f>Uebersicht!H39</f>
        <v>0</v>
      </c>
      <c r="B485" s="947">
        <v>485</v>
      </c>
      <c r="C485" s="1328" t="s">
        <v>2069</v>
      </c>
    </row>
    <row r="486" spans="1:8">
      <c r="A486" s="948" t="str">
        <f>Uebersicht!K39</f>
        <v/>
      </c>
      <c r="B486" s="947">
        <v>486</v>
      </c>
      <c r="C486" s="1328" t="s">
        <v>2070</v>
      </c>
      <c r="G486" t="str">
        <f>A486&amp;"ss"</f>
        <v>ss</v>
      </c>
    </row>
    <row r="487" spans="1:8">
      <c r="A487" s="950">
        <f>IF(OR(A486=0,A486=""),1,VLOOKUP(A486,Sommer!$P$11:$S$14,4,FALSE))-1</f>
        <v>0</v>
      </c>
      <c r="B487" s="1332">
        <v>487</v>
      </c>
      <c r="C487" s="1329" t="s">
        <v>2177</v>
      </c>
      <c r="D487" s="951"/>
      <c r="E487" s="951"/>
      <c r="F487" s="951"/>
      <c r="G487" s="951"/>
      <c r="H487" s="951"/>
    </row>
    <row r="488" spans="1:8">
      <c r="A488" s="948">
        <f>Eingaben!C51</f>
        <v>0</v>
      </c>
      <c r="B488" s="947">
        <v>488</v>
      </c>
      <c r="C488" s="939" t="s">
        <v>2071</v>
      </c>
    </row>
    <row r="489" spans="1:8">
      <c r="A489" s="948">
        <f>Eingaben!C55</f>
        <v>0</v>
      </c>
      <c r="B489" s="947">
        <v>489</v>
      </c>
      <c r="C489" s="939" t="s">
        <v>2073</v>
      </c>
    </row>
    <row r="490" spans="1:8">
      <c r="A490" s="948">
        <f>Eingaben!C57</f>
        <v>0</v>
      </c>
      <c r="B490" s="947">
        <v>490</v>
      </c>
      <c r="C490" s="939" t="s">
        <v>2076</v>
      </c>
    </row>
    <row r="491" spans="1:8">
      <c r="A491" s="948">
        <f>Eingaben!E53</f>
        <v>0</v>
      </c>
      <c r="B491" s="947">
        <v>491</v>
      </c>
      <c r="C491" s="939" t="s">
        <v>2072</v>
      </c>
    </row>
    <row r="492" spans="1:8">
      <c r="A492" s="948">
        <f>Eingaben!G55</f>
        <v>0</v>
      </c>
      <c r="B492" s="947">
        <v>492</v>
      </c>
      <c r="C492" s="939" t="s">
        <v>2074</v>
      </c>
    </row>
    <row r="493" spans="1:8">
      <c r="A493" s="948">
        <f>Eingaben!G57</f>
        <v>0</v>
      </c>
      <c r="B493" s="947">
        <v>493</v>
      </c>
      <c r="C493" s="939" t="s">
        <v>2075</v>
      </c>
    </row>
    <row r="494" spans="1:8">
      <c r="A494" s="948">
        <f>Eingaben!D60</f>
        <v>0</v>
      </c>
      <c r="B494" s="947">
        <v>494</v>
      </c>
      <c r="C494" s="939" t="s">
        <v>2077</v>
      </c>
    </row>
    <row r="495" spans="1:8">
      <c r="A495" s="1326">
        <f>IF(A494=0,1,VLOOKUP(A494,Sommer!$P$11:$S$14,4,FALSE))-1</f>
        <v>0</v>
      </c>
      <c r="B495" s="947">
        <v>495</v>
      </c>
      <c r="C495" s="939" t="s">
        <v>2178</v>
      </c>
    </row>
    <row r="496" spans="1:8">
      <c r="A496" s="950">
        <f>Eingaben!G60</f>
        <v>0</v>
      </c>
      <c r="B496" s="1332">
        <v>496</v>
      </c>
      <c r="C496" s="1330" t="s">
        <v>2078</v>
      </c>
      <c r="D496" s="951"/>
      <c r="E496" s="951"/>
      <c r="F496" s="951"/>
      <c r="G496" s="951"/>
      <c r="H496" s="951"/>
    </row>
    <row r="497" spans="1:3">
      <c r="A497" s="948">
        <f>Nachweis!AL45</f>
        <v>0</v>
      </c>
      <c r="B497" s="948">
        <v>497</v>
      </c>
      <c r="C497" s="939" t="s">
        <v>2197</v>
      </c>
    </row>
    <row r="498" spans="1:3">
      <c r="A498" s="948">
        <f>MINERGIE!F41</f>
        <v>0</v>
      </c>
      <c r="B498" s="948">
        <v>498</v>
      </c>
      <c r="C498" s="1328" t="s">
        <v>2414</v>
      </c>
    </row>
    <row r="499" spans="1:3">
      <c r="A499" s="1326">
        <f>IF(A498=0,1,VLOOKUP(A498,Sommer!$P$11:$S$14,4,FALSE))-1</f>
        <v>0</v>
      </c>
      <c r="B499" s="948">
        <v>499</v>
      </c>
      <c r="C499" s="1328" t="s">
        <v>2415</v>
      </c>
    </row>
    <row r="500" spans="1:3">
      <c r="A500" s="948">
        <f>MINERGIE!G41</f>
        <v>0</v>
      </c>
      <c r="B500" s="948">
        <v>500</v>
      </c>
      <c r="C500" s="1328" t="s">
        <v>2416</v>
      </c>
    </row>
    <row r="501" spans="1:3">
      <c r="A501" s="1326">
        <f>IF(A500=0,1,VLOOKUP(A500,Sommer!$P$11:$S$14,4,FALSE))-1</f>
        <v>0</v>
      </c>
      <c r="B501" s="948">
        <v>501</v>
      </c>
      <c r="C501" s="1328" t="s">
        <v>2417</v>
      </c>
    </row>
    <row r="502" spans="1:3">
      <c r="A502" s="948">
        <f>MINERGIE!H41</f>
        <v>0</v>
      </c>
      <c r="B502" s="948">
        <v>502</v>
      </c>
      <c r="C502" s="1328" t="s">
        <v>2418</v>
      </c>
    </row>
    <row r="503" spans="1:3">
      <c r="A503" s="1326">
        <f>IF(A502=0,1,VLOOKUP(A502,Sommer!$P$11:$S$14,4,FALSE))-1</f>
        <v>0</v>
      </c>
      <c r="B503" s="948">
        <v>503</v>
      </c>
      <c r="C503" s="1328" t="s">
        <v>2419</v>
      </c>
    </row>
    <row r="504" spans="1:3">
      <c r="A504" s="948">
        <f>MINERGIE!I41</f>
        <v>0</v>
      </c>
      <c r="B504" s="948">
        <v>504</v>
      </c>
      <c r="C504" s="1328" t="s">
        <v>2420</v>
      </c>
    </row>
    <row r="505" spans="1:3">
      <c r="A505" s="1326">
        <f>IF(A504=0,1,VLOOKUP(A504,Sommer!$P$11:$S$14,4,FALSE))-1</f>
        <v>0</v>
      </c>
      <c r="B505" s="948">
        <v>505</v>
      </c>
      <c r="C505" s="1328" t="s">
        <v>2421</v>
      </c>
    </row>
    <row r="506" spans="1:3">
      <c r="A506" s="948">
        <f>Eingaben!O2+Eingaben!P2+Eingaben!Q2+Eingaben!R2</f>
        <v>0</v>
      </c>
      <c r="B506" s="948">
        <v>506</v>
      </c>
      <c r="C506" s="1328" t="s">
        <v>2422</v>
      </c>
    </row>
    <row r="507" spans="1:3">
      <c r="A507" s="948" t="str">
        <f>Uebersicht!K41</f>
        <v>Nein</v>
      </c>
      <c r="B507" s="948">
        <v>507</v>
      </c>
      <c r="C507" s="1328" t="s">
        <v>2428</v>
      </c>
    </row>
    <row r="508" spans="1:3">
      <c r="A508" s="1326">
        <f>IF(A507=0,1,VLOOKUP(A507,Sommer!$P$11:$S$14,4,FALSE))-1</f>
        <v>2</v>
      </c>
      <c r="B508" s="948">
        <v>508</v>
      </c>
      <c r="C508" s="1328" t="s">
        <v>2429</v>
      </c>
    </row>
    <row r="509" spans="1:3">
      <c r="A509" s="948">
        <f>MINERGIE!S15</f>
        <v>0</v>
      </c>
      <c r="B509" s="948">
        <v>509</v>
      </c>
      <c r="C509" s="1328" t="s">
        <v>2435</v>
      </c>
    </row>
    <row r="510" spans="1:3">
      <c r="A510" s="948">
        <f>Uebersicht!K53</f>
        <v>0</v>
      </c>
      <c r="B510" s="948">
        <v>510</v>
      </c>
      <c r="C510" s="1328" t="s">
        <v>2436</v>
      </c>
    </row>
    <row r="511" spans="1:3">
      <c r="A511" s="948">
        <f>Uebersicht!K57</f>
        <v>0</v>
      </c>
      <c r="B511" s="948">
        <v>511</v>
      </c>
      <c r="C511" s="1328" t="s">
        <v>2437</v>
      </c>
    </row>
    <row r="512" spans="1:3">
      <c r="A512" s="948">
        <f>Uebersicht!K59</f>
        <v>0</v>
      </c>
      <c r="B512" s="948">
        <v>512</v>
      </c>
      <c r="C512" s="1328" t="s">
        <v>2438</v>
      </c>
    </row>
    <row r="513" spans="1:3">
      <c r="A513" s="948">
        <f>Uebersicht!K61</f>
        <v>0</v>
      </c>
      <c r="B513" s="948">
        <v>513</v>
      </c>
      <c r="C513" s="1328" t="s">
        <v>2439</v>
      </c>
    </row>
    <row r="514" spans="1:3">
      <c r="A514" s="948">
        <f>Uebersicht!K63</f>
        <v>0</v>
      </c>
      <c r="B514" s="948">
        <v>514</v>
      </c>
      <c r="C514" s="1328" t="s">
        <v>2440</v>
      </c>
    </row>
    <row r="515" spans="1:3">
      <c r="A515" s="948">
        <f>Uebersicht!K65</f>
        <v>0</v>
      </c>
      <c r="B515" s="948">
        <v>515</v>
      </c>
      <c r="C515" s="1328" t="s">
        <v>2441</v>
      </c>
    </row>
    <row r="516" spans="1:3">
      <c r="A516" s="948">
        <f>Uebersicht!K67</f>
        <v>0</v>
      </c>
      <c r="B516" s="948">
        <v>516</v>
      </c>
      <c r="C516" s="1328" t="s">
        <v>2442</v>
      </c>
    </row>
    <row r="517" spans="1:3">
      <c r="A517" s="948">
        <f>Nachweis!L39</f>
        <v>0</v>
      </c>
      <c r="B517" s="948">
        <v>517</v>
      </c>
      <c r="C517" s="1328" t="s">
        <v>2443</v>
      </c>
    </row>
    <row r="518" spans="1:3">
      <c r="A518" s="948">
        <f>Nachweis!L40</f>
        <v>0</v>
      </c>
      <c r="B518" s="948">
        <v>518</v>
      </c>
      <c r="C518" s="1328" t="s">
        <v>2444</v>
      </c>
    </row>
    <row r="519" spans="1:3">
      <c r="A519" s="948">
        <f>Nachweis!I47</f>
        <v>0</v>
      </c>
      <c r="B519" s="948">
        <v>519</v>
      </c>
      <c r="C519" s="1328" t="s">
        <v>2450</v>
      </c>
    </row>
    <row r="520" spans="1:3">
      <c r="A520" s="948">
        <f>Nachweis!I48</f>
        <v>0</v>
      </c>
      <c r="B520" s="948">
        <v>520</v>
      </c>
      <c r="C520" s="1328" t="s">
        <v>2451</v>
      </c>
    </row>
    <row r="521" spans="1:3">
      <c r="A521" s="948">
        <f>Nachweis!I49</f>
        <v>0</v>
      </c>
      <c r="B521" s="948">
        <v>521</v>
      </c>
      <c r="C521" s="1328" t="s">
        <v>2452</v>
      </c>
    </row>
    <row r="522" spans="1:3">
      <c r="A522" s="948">
        <f>Nachweis!I50</f>
        <v>0</v>
      </c>
      <c r="B522" s="948">
        <v>522</v>
      </c>
      <c r="C522" s="1328" t="s">
        <v>2453</v>
      </c>
    </row>
    <row r="523" spans="1:3">
      <c r="A523" s="948">
        <f>Nachweis!I51</f>
        <v>0</v>
      </c>
      <c r="B523" s="948">
        <v>523</v>
      </c>
      <c r="C523" s="1328" t="s">
        <v>2454</v>
      </c>
    </row>
    <row r="524" spans="1:3">
      <c r="A524" s="948">
        <f>Nachweis!J47</f>
        <v>0</v>
      </c>
      <c r="B524" s="948">
        <v>524</v>
      </c>
      <c r="C524" s="1328" t="s">
        <v>2455</v>
      </c>
    </row>
    <row r="525" spans="1:3">
      <c r="A525" s="948">
        <f>Nachweis!J48</f>
        <v>0</v>
      </c>
      <c r="B525" s="948">
        <v>525</v>
      </c>
      <c r="C525" s="1328" t="s">
        <v>2459</v>
      </c>
    </row>
    <row r="526" spans="1:3">
      <c r="A526" s="948">
        <f>Nachweis!J49</f>
        <v>0</v>
      </c>
      <c r="B526" s="948">
        <v>526</v>
      </c>
      <c r="C526" s="1328" t="s">
        <v>2458</v>
      </c>
    </row>
    <row r="527" spans="1:3">
      <c r="A527" s="948">
        <f>Nachweis!J50</f>
        <v>0</v>
      </c>
      <c r="B527" s="948">
        <v>527</v>
      </c>
      <c r="C527" s="1328" t="s">
        <v>2457</v>
      </c>
    </row>
    <row r="528" spans="1:3">
      <c r="A528" s="948">
        <f>Nachweis!J51</f>
        <v>0</v>
      </c>
      <c r="B528" s="948">
        <v>528</v>
      </c>
      <c r="C528" s="1328" t="s">
        <v>2456</v>
      </c>
    </row>
    <row r="529" spans="1:3">
      <c r="A529" s="948">
        <f>Nachweis!I52</f>
        <v>0</v>
      </c>
      <c r="B529" s="948">
        <v>529</v>
      </c>
      <c r="C529" s="1328" t="s">
        <v>2460</v>
      </c>
    </row>
    <row r="530" spans="1:3">
      <c r="A530" s="948">
        <f>Nachweis!I53</f>
        <v>0</v>
      </c>
      <c r="B530" s="948">
        <v>530</v>
      </c>
      <c r="C530" s="1328" t="s">
        <v>2461</v>
      </c>
    </row>
    <row r="531" spans="1:3">
      <c r="A531" s="948">
        <f>Uebersicht!F42</f>
        <v>0</v>
      </c>
      <c r="B531" s="948">
        <v>531</v>
      </c>
      <c r="C531" s="1328" t="s">
        <v>2509</v>
      </c>
    </row>
    <row r="532" spans="1:3">
      <c r="A532" s="948">
        <f>Uebersicht!H42</f>
        <v>0</v>
      </c>
      <c r="B532" s="948">
        <v>532</v>
      </c>
      <c r="C532" s="1328" t="s">
        <v>2510</v>
      </c>
    </row>
    <row r="533" spans="1:3">
      <c r="A533" s="948" t="str">
        <f>Uebersicht!K42</f>
        <v>Nein</v>
      </c>
      <c r="B533" s="948">
        <v>533</v>
      </c>
      <c r="C533" s="1328" t="s">
        <v>2511</v>
      </c>
    </row>
    <row r="534" spans="1:3">
      <c r="A534" s="1326">
        <f>IF(A533=0,1,VLOOKUP(A533,Sommer!$P$11:$S$14,4,FALSE))-1</f>
        <v>2</v>
      </c>
      <c r="B534" s="948">
        <v>534</v>
      </c>
      <c r="C534" s="1328" t="s">
        <v>2512</v>
      </c>
    </row>
    <row r="535" spans="1:3">
      <c r="A535" s="948" t="str">
        <f>Uebersicht!F43</f>
        <v/>
      </c>
      <c r="B535" s="948">
        <v>535</v>
      </c>
      <c r="C535" s="1328" t="s">
        <v>2513</v>
      </c>
    </row>
    <row r="536" spans="1:3">
      <c r="A536" s="948" t="str">
        <f>Uebersicht!H43</f>
        <v/>
      </c>
      <c r="B536" s="948">
        <v>536</v>
      </c>
      <c r="C536" s="1328" t="s">
        <v>2514</v>
      </c>
    </row>
    <row r="537" spans="1:3">
      <c r="A537" s="948">
        <f>Uebersicht!K43</f>
        <v>0</v>
      </c>
      <c r="B537" s="948">
        <v>537</v>
      </c>
      <c r="C537" s="1328" t="s">
        <v>2515</v>
      </c>
    </row>
    <row r="538" spans="1:3">
      <c r="A538" s="1326">
        <f>IF(OR(A537="",A537=0),1,VLOOKUP(A537,Sommer!$P$11:$S$14,4,FALSE))-1</f>
        <v>0</v>
      </c>
      <c r="B538" s="948">
        <v>538</v>
      </c>
      <c r="C538" s="1328" t="s">
        <v>2516</v>
      </c>
    </row>
    <row r="539" spans="1:3">
      <c r="A539" s="953">
        <f>MINERGIE!F17</f>
        <v>0</v>
      </c>
      <c r="B539" s="948">
        <v>539</v>
      </c>
      <c r="C539" s="1328" t="s">
        <v>2557</v>
      </c>
    </row>
    <row r="540" spans="1:3">
      <c r="A540" s="953">
        <f>MINERGIE!G17</f>
        <v>0</v>
      </c>
      <c r="B540" s="948">
        <v>540</v>
      </c>
      <c r="C540" s="1328" t="s">
        <v>2558</v>
      </c>
    </row>
    <row r="541" spans="1:3">
      <c r="A541" s="953">
        <f>MINERGIE!H17</f>
        <v>0</v>
      </c>
      <c r="B541" s="948">
        <v>541</v>
      </c>
      <c r="C541" s="1328" t="s">
        <v>2559</v>
      </c>
    </row>
    <row r="542" spans="1:3">
      <c r="A542" s="953">
        <f>MINERGIE!I17</f>
        <v>0</v>
      </c>
      <c r="B542" s="948">
        <v>542</v>
      </c>
      <c r="C542" s="1328" t="s">
        <v>2560</v>
      </c>
    </row>
    <row r="543" spans="1:3">
      <c r="A543" s="948">
        <f>MINERGIE!F45</f>
        <v>0</v>
      </c>
      <c r="B543" s="948">
        <v>543</v>
      </c>
      <c r="C543" s="1328" t="s">
        <v>2643</v>
      </c>
    </row>
    <row r="544" spans="1:3">
      <c r="A544" s="948">
        <f>IF(A543=0,1,VLOOKUP(A543,MINERGIE!$N$11:$P$13,3,FALSE))-1</f>
        <v>0</v>
      </c>
      <c r="B544" s="948">
        <v>544</v>
      </c>
      <c r="C544" s="1328" t="s">
        <v>2647</v>
      </c>
    </row>
    <row r="545" spans="1:3">
      <c r="A545" s="948">
        <f>MINERGIE!G45</f>
        <v>0</v>
      </c>
      <c r="B545" s="948">
        <v>545</v>
      </c>
      <c r="C545" s="1328" t="s">
        <v>2644</v>
      </c>
    </row>
    <row r="546" spans="1:3">
      <c r="A546" s="948">
        <f>IF(A545=0,1,VLOOKUP(A545,MINERGIE!$N$11:$P$13,3,FALSE))-1</f>
        <v>0</v>
      </c>
      <c r="B546" s="948">
        <v>546</v>
      </c>
      <c r="C546" s="1328" t="s">
        <v>2648</v>
      </c>
    </row>
    <row r="547" spans="1:3">
      <c r="A547" s="948">
        <f>MINERGIE!H45</f>
        <v>0</v>
      </c>
      <c r="B547" s="948">
        <v>547</v>
      </c>
      <c r="C547" s="1328" t="s">
        <v>2645</v>
      </c>
    </row>
    <row r="548" spans="1:3">
      <c r="A548" s="948">
        <f>IF(A547=0,1,VLOOKUP(A547,MINERGIE!$N$11:$P$13,3,FALSE))-1</f>
        <v>0</v>
      </c>
      <c r="B548" s="948">
        <v>548</v>
      </c>
      <c r="C548" s="1328" t="s">
        <v>2649</v>
      </c>
    </row>
    <row r="549" spans="1:3">
      <c r="A549" s="948">
        <f>MINERGIE!I45</f>
        <v>0</v>
      </c>
      <c r="B549" s="948">
        <v>549</v>
      </c>
      <c r="C549" s="1328" t="s">
        <v>2646</v>
      </c>
    </row>
    <row r="550" spans="1:3">
      <c r="A550" s="948">
        <f>IF(A549=0,1,VLOOKUP(A549,MINERGIE!$N$11:$P$13,3,FALSE))-1</f>
        <v>0</v>
      </c>
      <c r="B550" s="948">
        <v>550</v>
      </c>
      <c r="C550" s="1328" t="s">
        <v>2650</v>
      </c>
    </row>
    <row r="551" spans="1:3">
      <c r="A551" s="948">
        <f>MINERGIE!O56</f>
        <v>0</v>
      </c>
      <c r="B551" s="948">
        <v>551</v>
      </c>
      <c r="C551" s="1328" t="s">
        <v>2651</v>
      </c>
    </row>
    <row r="552" spans="1:3">
      <c r="A552" s="948">
        <f>MINERGIE!P56</f>
        <v>0</v>
      </c>
      <c r="B552" s="948">
        <v>552</v>
      </c>
      <c r="C552" s="1328" t="s">
        <v>2652</v>
      </c>
    </row>
    <row r="553" spans="1:3">
      <c r="A553" s="948">
        <f>MINERGIE!Q56</f>
        <v>0</v>
      </c>
      <c r="B553" s="948">
        <v>553</v>
      </c>
      <c r="C553" s="1328" t="s">
        <v>2653</v>
      </c>
    </row>
    <row r="554" spans="1:3">
      <c r="A554" s="948">
        <f>MINERGIE!R56</f>
        <v>0</v>
      </c>
      <c r="B554" s="948">
        <v>554</v>
      </c>
      <c r="C554" s="1328" t="s">
        <v>2654</v>
      </c>
    </row>
    <row r="555" spans="1:3">
      <c r="A555" s="948">
        <f>MINERGIE!S56</f>
        <v>0</v>
      </c>
      <c r="B555" s="948">
        <v>555</v>
      </c>
      <c r="C555" s="1328" t="s">
        <v>2655</v>
      </c>
    </row>
    <row r="556" spans="1:3">
      <c r="A556" s="948">
        <f>MINERGIE!O100</f>
        <v>0</v>
      </c>
      <c r="B556" s="948">
        <v>556</v>
      </c>
      <c r="C556" s="1328" t="s">
        <v>2656</v>
      </c>
    </row>
    <row r="557" spans="1:3">
      <c r="A557" s="948">
        <f>MINERGIE!P100</f>
        <v>0</v>
      </c>
      <c r="B557" s="948">
        <v>557</v>
      </c>
      <c r="C557" s="1328" t="s">
        <v>2657</v>
      </c>
    </row>
    <row r="558" spans="1:3">
      <c r="A558" s="948">
        <f>MINERGIE!Q100</f>
        <v>0</v>
      </c>
      <c r="B558" s="948">
        <v>558</v>
      </c>
      <c r="C558" s="1328" t="s">
        <v>2658</v>
      </c>
    </row>
    <row r="559" spans="1:3">
      <c r="A559" s="948">
        <f>MINERGIE!R100</f>
        <v>0</v>
      </c>
      <c r="B559" s="948">
        <v>559</v>
      </c>
      <c r="C559" s="1328" t="s">
        <v>2659</v>
      </c>
    </row>
    <row r="560" spans="1:3">
      <c r="A560" s="948">
        <f>MINERGIE!S100</f>
        <v>0</v>
      </c>
      <c r="B560" s="948">
        <v>560</v>
      </c>
      <c r="C560" s="1328" t="s">
        <v>2660</v>
      </c>
    </row>
    <row r="561" spans="1:3">
      <c r="A561" s="948">
        <f>MINERGIE!O94</f>
        <v>0</v>
      </c>
      <c r="B561" s="948">
        <v>561</v>
      </c>
      <c r="C561" s="1328" t="s">
        <v>2661</v>
      </c>
    </row>
    <row r="562" spans="1:3">
      <c r="A562" s="948">
        <f>MINERGIE!P94</f>
        <v>0</v>
      </c>
      <c r="B562" s="948">
        <v>562</v>
      </c>
      <c r="C562" s="1328" t="s">
        <v>2662</v>
      </c>
    </row>
    <row r="563" spans="1:3">
      <c r="A563" s="948">
        <f>MINERGIE!Q94</f>
        <v>0</v>
      </c>
      <c r="B563" s="948">
        <v>563</v>
      </c>
      <c r="C563" s="1328" t="s">
        <v>2663</v>
      </c>
    </row>
    <row r="564" spans="1:3">
      <c r="A564" s="948">
        <f>MINERGIE!R94</f>
        <v>0</v>
      </c>
      <c r="B564" s="948">
        <v>564</v>
      </c>
      <c r="C564" s="1328" t="s">
        <v>2664</v>
      </c>
    </row>
    <row r="565" spans="1:3">
      <c r="A565" s="948">
        <f>MINERGIE!S94</f>
        <v>0</v>
      </c>
      <c r="B565" s="948">
        <v>565</v>
      </c>
      <c r="C565" s="1328" t="s">
        <v>2665</v>
      </c>
    </row>
    <row r="566" spans="1:3">
      <c r="A566" s="948">
        <f>MINERGIE!O68</f>
        <v>0</v>
      </c>
      <c r="B566" s="948">
        <v>566</v>
      </c>
      <c r="C566" s="1328" t="s">
        <v>2666</v>
      </c>
    </row>
    <row r="567" spans="1:3">
      <c r="A567" s="948">
        <f>MINERGIE!P68</f>
        <v>0</v>
      </c>
      <c r="B567" s="948">
        <v>567</v>
      </c>
      <c r="C567" s="1328" t="s">
        <v>2667</v>
      </c>
    </row>
    <row r="568" spans="1:3">
      <c r="A568" s="948">
        <f>MINERGIE!Q68</f>
        <v>0</v>
      </c>
      <c r="B568" s="948">
        <v>568</v>
      </c>
      <c r="C568" s="1328" t="s">
        <v>2668</v>
      </c>
    </row>
    <row r="569" spans="1:3">
      <c r="A569" s="948">
        <f>MINERGIE!R68</f>
        <v>0</v>
      </c>
      <c r="B569" s="948">
        <v>569</v>
      </c>
      <c r="C569" s="1328" t="s">
        <v>2669</v>
      </c>
    </row>
    <row r="570" spans="1:3">
      <c r="A570" s="948">
        <f>MINERGIE!S68</f>
        <v>0</v>
      </c>
      <c r="B570" s="948">
        <v>570</v>
      </c>
      <c r="C570" s="1328" t="s">
        <v>2670</v>
      </c>
    </row>
    <row r="571" spans="1:3">
      <c r="A571" s="948">
        <f>MINERGIE!O59</f>
        <v>0</v>
      </c>
      <c r="B571" s="948">
        <v>571</v>
      </c>
      <c r="C571" s="1328" t="s">
        <v>2671</v>
      </c>
    </row>
    <row r="572" spans="1:3">
      <c r="A572" s="948">
        <f>MINERGIE!P59</f>
        <v>0</v>
      </c>
      <c r="B572" s="948">
        <v>572</v>
      </c>
      <c r="C572" s="1328" t="s">
        <v>2672</v>
      </c>
    </row>
    <row r="573" spans="1:3">
      <c r="A573" s="948">
        <f>MINERGIE!Q59</f>
        <v>0</v>
      </c>
      <c r="B573" s="948">
        <v>573</v>
      </c>
      <c r="C573" s="1328" t="s">
        <v>2673</v>
      </c>
    </row>
    <row r="574" spans="1:3">
      <c r="A574" s="948">
        <f>MINERGIE!R59</f>
        <v>0</v>
      </c>
      <c r="B574" s="948">
        <v>574</v>
      </c>
      <c r="C574" s="1328" t="s">
        <v>2674</v>
      </c>
    </row>
    <row r="575" spans="1:3">
      <c r="A575" s="948">
        <f>MINERGIE!S59</f>
        <v>0</v>
      </c>
      <c r="B575" s="948">
        <v>575</v>
      </c>
      <c r="C575" s="1328" t="s">
        <v>2675</v>
      </c>
    </row>
    <row r="576" spans="1:3">
      <c r="A576" s="948">
        <f>MINERGIE!O44</f>
        <v>0</v>
      </c>
      <c r="B576" s="948">
        <v>576</v>
      </c>
      <c r="C576" s="1328" t="s">
        <v>2676</v>
      </c>
    </row>
    <row r="577" spans="1:3">
      <c r="A577" s="948">
        <f>MINERGIE!P44</f>
        <v>0</v>
      </c>
      <c r="B577" s="948">
        <v>577</v>
      </c>
      <c r="C577" s="1328" t="s">
        <v>2677</v>
      </c>
    </row>
    <row r="578" spans="1:3">
      <c r="A578" s="948">
        <f>MINERGIE!Q44</f>
        <v>0</v>
      </c>
      <c r="B578" s="948">
        <v>578</v>
      </c>
      <c r="C578" s="1328" t="s">
        <v>2678</v>
      </c>
    </row>
    <row r="579" spans="1:3">
      <c r="A579" s="948">
        <f>MINERGIE!R44</f>
        <v>0</v>
      </c>
      <c r="B579" s="948">
        <v>579</v>
      </c>
      <c r="C579" s="1328" t="s">
        <v>2679</v>
      </c>
    </row>
    <row r="580" spans="1:3">
      <c r="A580" s="948">
        <f>MINERGIE!S44</f>
        <v>0</v>
      </c>
      <c r="B580" s="948">
        <v>580</v>
      </c>
      <c r="C580" s="1328" t="s">
        <v>2680</v>
      </c>
    </row>
    <row r="581" spans="1:3">
      <c r="A581" s="953">
        <f>MINERGIE!O15</f>
        <v>0</v>
      </c>
      <c r="B581" s="948">
        <v>581</v>
      </c>
      <c r="C581" s="1328" t="s">
        <v>2681</v>
      </c>
    </row>
    <row r="582" spans="1:3">
      <c r="A582" s="953">
        <f>MINERGIE!P15</f>
        <v>0</v>
      </c>
      <c r="B582" s="948">
        <v>582</v>
      </c>
      <c r="C582" s="1328" t="s">
        <v>2682</v>
      </c>
    </row>
    <row r="583" spans="1:3">
      <c r="A583" s="953">
        <f>MINERGIE!Q15</f>
        <v>0</v>
      </c>
      <c r="B583" s="948">
        <v>583</v>
      </c>
      <c r="C583" s="1328" t="s">
        <v>2683</v>
      </c>
    </row>
    <row r="584" spans="1:3">
      <c r="A584" s="953">
        <f>MINERGIE!R15</f>
        <v>0</v>
      </c>
      <c r="B584" s="948">
        <v>584</v>
      </c>
      <c r="C584" s="1328" t="s">
        <v>2684</v>
      </c>
    </row>
    <row r="585" spans="1:3">
      <c r="A585" s="948">
        <f>MINERGIE!S15</f>
        <v>0</v>
      </c>
      <c r="B585" s="948">
        <v>585</v>
      </c>
      <c r="C585" s="1328" t="s">
        <v>2685</v>
      </c>
    </row>
    <row r="586" spans="1:3">
      <c r="A586" s="953">
        <f>MINERGIE!O18</f>
        <v>0</v>
      </c>
      <c r="B586" s="948">
        <v>586</v>
      </c>
      <c r="C586" s="1328" t="s">
        <v>2686</v>
      </c>
    </row>
    <row r="587" spans="1:3">
      <c r="A587" s="953">
        <f>MINERGIE!P18</f>
        <v>0</v>
      </c>
      <c r="B587" s="948">
        <v>587</v>
      </c>
      <c r="C587" s="1328" t="s">
        <v>2687</v>
      </c>
    </row>
    <row r="588" spans="1:3">
      <c r="A588" s="953">
        <f>MINERGIE!Q18</f>
        <v>0</v>
      </c>
      <c r="B588" s="948">
        <v>588</v>
      </c>
      <c r="C588" s="1328" t="s">
        <v>2688</v>
      </c>
    </row>
    <row r="589" spans="1:3">
      <c r="A589" s="953">
        <f>MINERGIE!R18</f>
        <v>0</v>
      </c>
      <c r="B589" s="948">
        <v>589</v>
      </c>
      <c r="C589" s="1328" t="s">
        <v>2689</v>
      </c>
    </row>
    <row r="590" spans="1:3">
      <c r="A590" s="948">
        <f>MINERGIE!S18</f>
        <v>0</v>
      </c>
      <c r="B590" s="948">
        <v>590</v>
      </c>
      <c r="C590" s="1328" t="s">
        <v>2690</v>
      </c>
    </row>
    <row r="591" spans="1:3">
      <c r="A591" s="948">
        <f>MINERGIE!O103</f>
        <v>0</v>
      </c>
      <c r="B591" s="948">
        <v>591</v>
      </c>
      <c r="C591" s="1328" t="s">
        <v>2691</v>
      </c>
    </row>
    <row r="592" spans="1:3">
      <c r="A592" s="948">
        <f>MINERGIE!P103</f>
        <v>0</v>
      </c>
      <c r="B592" s="948">
        <v>592</v>
      </c>
      <c r="C592" s="1328" t="s">
        <v>2692</v>
      </c>
    </row>
    <row r="593" spans="1:10">
      <c r="A593" s="948">
        <f>MINERGIE!Q103</f>
        <v>0</v>
      </c>
      <c r="B593" s="948">
        <v>593</v>
      </c>
      <c r="C593" s="1328" t="s">
        <v>2693</v>
      </c>
    </row>
    <row r="594" spans="1:10">
      <c r="A594" s="948">
        <f>MINERGIE!R103</f>
        <v>0</v>
      </c>
      <c r="B594" s="948">
        <v>594</v>
      </c>
      <c r="C594" s="1328" t="s">
        <v>2694</v>
      </c>
    </row>
    <row r="595" spans="1:10">
      <c r="A595" s="948">
        <f>MINERGIE!S103</f>
        <v>0</v>
      </c>
      <c r="B595" s="948">
        <v>595</v>
      </c>
      <c r="C595" s="1328" t="s">
        <v>2695</v>
      </c>
    </row>
    <row r="596" spans="1:10">
      <c r="A596" s="948">
        <f>MINERGIE!O104</f>
        <v>0</v>
      </c>
      <c r="B596" s="948">
        <v>596</v>
      </c>
      <c r="C596" s="1328" t="s">
        <v>2696</v>
      </c>
    </row>
    <row r="597" spans="1:10">
      <c r="A597" s="948">
        <f>MINERGIE!P104</f>
        <v>0</v>
      </c>
      <c r="B597" s="948">
        <v>597</v>
      </c>
      <c r="C597" s="1328" t="s">
        <v>2697</v>
      </c>
    </row>
    <row r="598" spans="1:10">
      <c r="A598" s="948">
        <f>MINERGIE!Q104</f>
        <v>0</v>
      </c>
      <c r="B598" s="948">
        <v>598</v>
      </c>
      <c r="C598" s="1328" t="s">
        <v>2698</v>
      </c>
    </row>
    <row r="599" spans="1:10">
      <c r="A599" s="948">
        <f>MINERGIE!R104</f>
        <v>0</v>
      </c>
      <c r="B599" s="948">
        <v>599</v>
      </c>
      <c r="C599" s="1328" t="s">
        <v>2699</v>
      </c>
    </row>
    <row r="600" spans="1:10">
      <c r="A600" s="948">
        <f>MINERGIE!S104</f>
        <v>0</v>
      </c>
      <c r="B600" s="948">
        <v>600</v>
      </c>
      <c r="C600" s="1328" t="s">
        <v>2700</v>
      </c>
    </row>
    <row r="601" spans="1:10">
      <c r="A601" s="948">
        <f>MINERGIE!O109</f>
        <v>0</v>
      </c>
      <c r="B601" s="948">
        <v>601</v>
      </c>
      <c r="C601" s="1328" t="s">
        <v>2610</v>
      </c>
    </row>
    <row r="602" spans="1:10">
      <c r="A602" s="948">
        <f>MINERGIE!J118</f>
        <v>0</v>
      </c>
      <c r="B602" s="948">
        <v>602</v>
      </c>
      <c r="C602" s="1328" t="s">
        <v>2611</v>
      </c>
    </row>
    <row r="603" spans="1:10">
      <c r="A603" s="950">
        <f>MINERGIE!Z36</f>
        <v>0</v>
      </c>
      <c r="B603" s="950">
        <v>603</v>
      </c>
      <c r="C603" s="1329" t="s">
        <v>3891</v>
      </c>
      <c r="D603" s="951"/>
      <c r="E603" s="951"/>
      <c r="F603" s="951"/>
      <c r="G603" s="951"/>
      <c r="H603" s="951"/>
      <c r="I603" s="951"/>
      <c r="J603" s="951"/>
    </row>
    <row r="604" spans="1:10">
      <c r="A604" s="947">
        <f>Sommer!I36</f>
        <v>0</v>
      </c>
      <c r="B604" s="947">
        <v>604</v>
      </c>
      <c r="C604" s="1328" t="s">
        <v>3308</v>
      </c>
      <c r="D604" s="1323"/>
      <c r="E604" s="1323"/>
    </row>
    <row r="605" spans="1:10">
      <c r="A605" s="1719">
        <f>IF(A604=0,1,VLOOKUP(A604,Sommer!$P$11:$S$14,4,FALSE))-1</f>
        <v>0</v>
      </c>
      <c r="B605" s="947">
        <v>605</v>
      </c>
      <c r="C605" s="1328" t="s">
        <v>3307</v>
      </c>
    </row>
    <row r="606" spans="1:10">
      <c r="A606" s="947">
        <f>Sommer!J36</f>
        <v>0</v>
      </c>
      <c r="B606" s="947">
        <v>606</v>
      </c>
      <c r="C606" s="1328" t="s">
        <v>3309</v>
      </c>
      <c r="D606" s="1323"/>
      <c r="E606" s="1323"/>
    </row>
    <row r="607" spans="1:10">
      <c r="A607" s="1719">
        <f>IF(A606=0,1,VLOOKUP(A606,Sommer!$P$11:$S$14,4,FALSE))-1</f>
        <v>0</v>
      </c>
      <c r="B607" s="947">
        <v>607</v>
      </c>
      <c r="C607" s="1328" t="s">
        <v>3312</v>
      </c>
      <c r="D607" s="1323"/>
      <c r="E607" s="1323"/>
    </row>
    <row r="608" spans="1:10">
      <c r="A608" s="947">
        <f>Sommer!K36</f>
        <v>0</v>
      </c>
      <c r="B608" s="947">
        <v>608</v>
      </c>
      <c r="C608" s="1328" t="s">
        <v>3310</v>
      </c>
    </row>
    <row r="609" spans="1:3">
      <c r="A609" s="1719">
        <f>IF(A608=0,1,VLOOKUP(A608,Sommer!$P$11:$S$14,4,FALSE))-1</f>
        <v>0</v>
      </c>
      <c r="B609" s="947">
        <v>609</v>
      </c>
      <c r="C609" s="1328" t="s">
        <v>3311</v>
      </c>
    </row>
    <row r="610" spans="1:3">
      <c r="A610" s="947">
        <f>Sommer!L36</f>
        <v>0</v>
      </c>
      <c r="B610" s="947">
        <v>610</v>
      </c>
      <c r="C610" s="1328" t="s">
        <v>3313</v>
      </c>
    </row>
    <row r="611" spans="1:3">
      <c r="A611" s="1719">
        <f>IF(A610=0,1,VLOOKUP(A610,Sommer!$P$11:$S$14,4,FALSE))-1</f>
        <v>0</v>
      </c>
      <c r="B611" s="947">
        <v>611</v>
      </c>
      <c r="C611" s="1328" t="s">
        <v>3314</v>
      </c>
    </row>
    <row r="612" spans="1:3">
      <c r="A612" s="947" t="str">
        <f>Sommer!H22</f>
        <v/>
      </c>
      <c r="B612" s="947">
        <v>612</v>
      </c>
      <c r="C612" s="1328" t="s">
        <v>3357</v>
      </c>
    </row>
    <row r="613" spans="1:3">
      <c r="A613" s="948" t="str">
        <f>Sommer!H24</f>
        <v/>
      </c>
      <c r="B613" s="947">
        <v>613</v>
      </c>
      <c r="C613" s="1328" t="s">
        <v>3356</v>
      </c>
    </row>
    <row r="614" spans="1:3">
      <c r="A614" s="948" t="str">
        <f>Sommer!H26</f>
        <v/>
      </c>
      <c r="B614" s="947">
        <v>614</v>
      </c>
      <c r="C614" s="1328" t="s">
        <v>3358</v>
      </c>
    </row>
    <row r="615" spans="1:3">
      <c r="A615" s="948" t="str">
        <f>Sommer!H28</f>
        <v/>
      </c>
      <c r="B615" s="947">
        <v>615</v>
      </c>
      <c r="C615" s="1328" t="s">
        <v>3359</v>
      </c>
    </row>
    <row r="616" spans="1:3">
      <c r="A616" s="948">
        <f>Sommer!I29</f>
        <v>0</v>
      </c>
      <c r="B616" s="947">
        <v>616</v>
      </c>
      <c r="C616" s="1328" t="s">
        <v>3360</v>
      </c>
    </row>
    <row r="617" spans="1:3">
      <c r="A617" s="1326">
        <f>IF(A616=0,1,VLOOKUP(A616,Sommer!$P$11:$S$14,4,FALSE))-1</f>
        <v>0</v>
      </c>
      <c r="B617" s="947">
        <v>617</v>
      </c>
      <c r="C617" s="1328" t="s">
        <v>3361</v>
      </c>
    </row>
    <row r="618" spans="1:3">
      <c r="A618" s="948">
        <f>Sommer!J29</f>
        <v>0</v>
      </c>
      <c r="B618" s="947">
        <v>618</v>
      </c>
      <c r="C618" s="1328" t="s">
        <v>3362</v>
      </c>
    </row>
    <row r="619" spans="1:3">
      <c r="A619" s="1326">
        <f>IF(A618=0,1,VLOOKUP(A618,Sommer!$P$11:$S$14,4,FALSE))-1</f>
        <v>0</v>
      </c>
      <c r="B619" s="947">
        <v>619</v>
      </c>
      <c r="C619" s="1328" t="s">
        <v>3363</v>
      </c>
    </row>
    <row r="620" spans="1:3">
      <c r="A620" s="948">
        <f>Sommer!K29</f>
        <v>0</v>
      </c>
      <c r="B620" s="947">
        <v>620</v>
      </c>
      <c r="C620" s="1328" t="s">
        <v>3364</v>
      </c>
    </row>
    <row r="621" spans="1:3">
      <c r="A621" s="1326">
        <f>IF(A620=0,1,VLOOKUP(A620,Sommer!$P$11:$S$14,4,FALSE))-1</f>
        <v>0</v>
      </c>
      <c r="B621" s="947">
        <v>621</v>
      </c>
      <c r="C621" s="1328" t="s">
        <v>3365</v>
      </c>
    </row>
    <row r="622" spans="1:3">
      <c r="A622" s="948">
        <f>Sommer!L29</f>
        <v>0</v>
      </c>
      <c r="B622" s="947">
        <v>622</v>
      </c>
      <c r="C622" s="1328" t="s">
        <v>3366</v>
      </c>
    </row>
    <row r="623" spans="1:3">
      <c r="A623" s="1326">
        <f>IF(A622=0,1,VLOOKUP(A622,Sommer!$P$11:$S$14,4,FALSE))-1</f>
        <v>0</v>
      </c>
      <c r="B623" s="947">
        <v>623</v>
      </c>
      <c r="C623" s="1328" t="s">
        <v>3367</v>
      </c>
    </row>
    <row r="624" spans="1:3">
      <c r="A624" s="948" t="str">
        <f>Sommer!U47</f>
        <v/>
      </c>
      <c r="B624" s="947">
        <v>624</v>
      </c>
      <c r="C624" s="1328" t="s">
        <v>3381</v>
      </c>
    </row>
    <row r="625" spans="1:3">
      <c r="A625" s="948" t="str">
        <f>Sommer!V47</f>
        <v/>
      </c>
      <c r="B625" s="947">
        <v>625</v>
      </c>
      <c r="C625" s="1328" t="s">
        <v>3382</v>
      </c>
    </row>
    <row r="626" spans="1:3">
      <c r="A626" s="948" t="str">
        <f>Sommer!W47</f>
        <v/>
      </c>
      <c r="B626" s="947">
        <v>626</v>
      </c>
      <c r="C626" s="1328" t="s">
        <v>3383</v>
      </c>
    </row>
    <row r="627" spans="1:3">
      <c r="A627" s="948" t="str">
        <f>Sommer!X47</f>
        <v/>
      </c>
      <c r="B627" s="947">
        <v>627</v>
      </c>
      <c r="C627" s="1328" t="s">
        <v>3384</v>
      </c>
    </row>
    <row r="628" spans="1:3">
      <c r="A628" s="948" t="b">
        <f>Sommer!S52</f>
        <v>0</v>
      </c>
      <c r="B628" s="947">
        <v>628</v>
      </c>
      <c r="C628" s="1328" t="s">
        <v>2428</v>
      </c>
    </row>
    <row r="629" spans="1:3">
      <c r="A629" s="948">
        <f>IF(A628,1,2)</f>
        <v>2</v>
      </c>
      <c r="B629" s="947">
        <v>629</v>
      </c>
      <c r="C629" s="1328" t="s">
        <v>3441</v>
      </c>
    </row>
    <row r="630" spans="1:3">
      <c r="A630" s="948">
        <f>IF(_SIA2009,2,1)</f>
        <v>1</v>
      </c>
      <c r="B630" s="947">
        <v>630</v>
      </c>
      <c r="C630" s="1328" t="s">
        <v>3559</v>
      </c>
    </row>
    <row r="631" spans="1:3">
      <c r="A631" s="948" t="str">
        <f>Eingaben!F37</f>
        <v/>
      </c>
      <c r="B631" s="947">
        <v>631</v>
      </c>
      <c r="C631" s="1328" t="s">
        <v>3827</v>
      </c>
    </row>
    <row r="632" spans="1:3">
      <c r="A632" s="948" t="str">
        <f>Eingaben!G37</f>
        <v/>
      </c>
      <c r="B632" s="947">
        <v>632</v>
      </c>
      <c r="C632" s="1328" t="s">
        <v>3828</v>
      </c>
    </row>
    <row r="633" spans="1:3">
      <c r="A633" s="948" t="str">
        <f>Eingaben!H37</f>
        <v/>
      </c>
      <c r="B633" s="947">
        <v>633</v>
      </c>
      <c r="C633" s="1328" t="s">
        <v>3829</v>
      </c>
    </row>
    <row r="634" spans="1:3">
      <c r="A634" s="948" t="str">
        <f>Eingaben!I37</f>
        <v/>
      </c>
      <c r="B634" s="947">
        <v>634</v>
      </c>
      <c r="C634" s="1328" t="s">
        <v>3830</v>
      </c>
    </row>
    <row r="635" spans="1:3">
      <c r="A635" s="1325">
        <f>MINERGIE!F21</f>
        <v>0</v>
      </c>
      <c r="B635" s="947">
        <v>635</v>
      </c>
      <c r="C635" s="1328" t="s">
        <v>3835</v>
      </c>
    </row>
    <row r="636" spans="1:3">
      <c r="A636" s="1325">
        <f>MINERGIE!G21</f>
        <v>0</v>
      </c>
      <c r="B636" s="947">
        <v>636</v>
      </c>
      <c r="C636" s="1328" t="s">
        <v>3836</v>
      </c>
    </row>
    <row r="637" spans="1:3">
      <c r="A637" s="1325">
        <f>MINERGIE!H21</f>
        <v>0</v>
      </c>
      <c r="B637" s="947">
        <v>637</v>
      </c>
      <c r="C637" s="1328" t="s">
        <v>3837</v>
      </c>
    </row>
    <row r="638" spans="1:3">
      <c r="A638" s="1325">
        <f>MINERGIE!I21</f>
        <v>0</v>
      </c>
      <c r="B638" s="947">
        <v>638</v>
      </c>
      <c r="C638" s="1328" t="s">
        <v>3838</v>
      </c>
    </row>
    <row r="639" spans="1:3">
      <c r="A639" s="948">
        <f>MINERGIE!V77</f>
        <v>0</v>
      </c>
      <c r="B639" s="947">
        <v>639</v>
      </c>
      <c r="C639" s="1328" t="s">
        <v>3831</v>
      </c>
    </row>
    <row r="640" spans="1:3">
      <c r="A640" s="948">
        <f>MINERGIE!W77</f>
        <v>0</v>
      </c>
      <c r="B640" s="947">
        <v>640</v>
      </c>
      <c r="C640" s="1328" t="s">
        <v>3832</v>
      </c>
    </row>
    <row r="641" spans="1:3">
      <c r="A641" s="948">
        <f>MINERGIE!X77</f>
        <v>0</v>
      </c>
      <c r="B641" s="947">
        <v>641</v>
      </c>
      <c r="C641" s="1328" t="s">
        <v>3833</v>
      </c>
    </row>
    <row r="642" spans="1:3">
      <c r="A642" s="948">
        <f>MINERGIE!Y77</f>
        <v>0</v>
      </c>
      <c r="B642" s="947">
        <v>642</v>
      </c>
      <c r="C642" s="1328" t="s">
        <v>3834</v>
      </c>
    </row>
    <row r="643" spans="1:3">
      <c r="A643" s="948">
        <f>MINERGIE!F41</f>
        <v>0</v>
      </c>
      <c r="B643" s="947">
        <v>643</v>
      </c>
      <c r="C643" s="1328" t="s">
        <v>3839</v>
      </c>
    </row>
    <row r="644" spans="1:3">
      <c r="A644" s="948">
        <f>IF(A643=0,1,VLOOKUP(A643,MINERGIE!$N$11:$T$13,6,FALSE))-1</f>
        <v>0</v>
      </c>
      <c r="B644" s="947">
        <v>644</v>
      </c>
      <c r="C644" s="1328" t="s">
        <v>3850</v>
      </c>
    </row>
    <row r="645" spans="1:3">
      <c r="A645" s="948">
        <f>MINERGIE!G41</f>
        <v>0</v>
      </c>
      <c r="B645" s="947">
        <v>645</v>
      </c>
      <c r="C645" s="1328" t="s">
        <v>3840</v>
      </c>
    </row>
    <row r="646" spans="1:3">
      <c r="A646" s="948">
        <f>IF(A645=0,1,VLOOKUP(A645,MINERGIE!$N$11:$T$13,6,FALSE))-1</f>
        <v>0</v>
      </c>
      <c r="B646" s="947">
        <v>646</v>
      </c>
      <c r="C646" s="1328" t="s">
        <v>3849</v>
      </c>
    </row>
    <row r="647" spans="1:3">
      <c r="A647" s="948">
        <f>MINERGIE!H41</f>
        <v>0</v>
      </c>
      <c r="B647" s="947">
        <v>647</v>
      </c>
      <c r="C647" s="1328" t="s">
        <v>3841</v>
      </c>
    </row>
    <row r="648" spans="1:3">
      <c r="A648" s="948">
        <f>IF(A647=0,1,VLOOKUP(A647,MINERGIE!$N$11:$T$13,6,FALSE))-1</f>
        <v>0</v>
      </c>
      <c r="B648" s="947">
        <v>648</v>
      </c>
      <c r="C648" s="1328" t="s">
        <v>3848</v>
      </c>
    </row>
    <row r="649" spans="1:3">
      <c r="A649" s="948">
        <f>MINERGIE!I41</f>
        <v>0</v>
      </c>
      <c r="B649" s="947">
        <v>649</v>
      </c>
      <c r="C649" s="1328" t="s">
        <v>3842</v>
      </c>
    </row>
    <row r="650" spans="1:3">
      <c r="A650" s="948">
        <f>IF(A649=0,1,VLOOKUP(A649,MINERGIE!$N$11:$T$13,6,FALSE))-1</f>
        <v>0</v>
      </c>
      <c r="B650" s="947">
        <v>650</v>
      </c>
      <c r="C650" s="1328" t="s">
        <v>3847</v>
      </c>
    </row>
    <row r="651" spans="1:3">
      <c r="A651" s="948">
        <f>MINERGIE!F45</f>
        <v>0</v>
      </c>
      <c r="B651" s="947">
        <v>651</v>
      </c>
      <c r="C651" s="1328" t="s">
        <v>3858</v>
      </c>
    </row>
    <row r="652" spans="1:3">
      <c r="A652" s="948">
        <f>IF(A651=0,1,VLOOKUP(A651,MINERGIE!$N$11:$T$13,6,FALSE))-1</f>
        <v>0</v>
      </c>
      <c r="B652" s="947">
        <v>652</v>
      </c>
      <c r="C652" s="1328" t="s">
        <v>3851</v>
      </c>
    </row>
    <row r="653" spans="1:3">
      <c r="A653" s="948">
        <f>MINERGIE!G45</f>
        <v>0</v>
      </c>
      <c r="B653" s="947">
        <v>653</v>
      </c>
      <c r="C653" s="1328" t="s">
        <v>3857</v>
      </c>
    </row>
    <row r="654" spans="1:3">
      <c r="A654" s="948">
        <f>IF(A653=0,1,VLOOKUP(A653,MINERGIE!$N$11:$T$13,6,FALSE))-1</f>
        <v>0</v>
      </c>
      <c r="B654" s="947">
        <v>654</v>
      </c>
      <c r="C654" s="1328" t="s">
        <v>3856</v>
      </c>
    </row>
    <row r="655" spans="1:3">
      <c r="A655" s="948">
        <f>MINERGIE!H45</f>
        <v>0</v>
      </c>
      <c r="B655" s="947">
        <v>655</v>
      </c>
      <c r="C655" s="1328" t="s">
        <v>3854</v>
      </c>
    </row>
    <row r="656" spans="1:3">
      <c r="A656" s="948">
        <f>IF(A655=0,1,VLOOKUP(A655,MINERGIE!$N$11:$T$13,6,FALSE))-1</f>
        <v>0</v>
      </c>
      <c r="B656" s="947">
        <v>656</v>
      </c>
      <c r="C656" s="1328" t="s">
        <v>3853</v>
      </c>
    </row>
    <row r="657" spans="1:3">
      <c r="A657" s="948">
        <f>MINERGIE!I45</f>
        <v>0</v>
      </c>
      <c r="B657" s="947">
        <v>657</v>
      </c>
      <c r="C657" s="1328" t="s">
        <v>3855</v>
      </c>
    </row>
    <row r="658" spans="1:3">
      <c r="A658" s="948">
        <f>IF(A657=0,1,VLOOKUP(A657,MINERGIE!$N$11:$T$13,6,FALSE))-1</f>
        <v>0</v>
      </c>
      <c r="B658" s="947">
        <v>658</v>
      </c>
      <c r="C658" s="1328" t="s">
        <v>3852</v>
      </c>
    </row>
    <row r="659" spans="1:3">
      <c r="A659" s="948">
        <f>MINERGIE!F48</f>
        <v>0</v>
      </c>
      <c r="B659" s="947">
        <v>659</v>
      </c>
      <c r="C659" s="1328" t="s">
        <v>3843</v>
      </c>
    </row>
    <row r="660" spans="1:3">
      <c r="A660" s="948">
        <f>MINERGIE!G48</f>
        <v>0</v>
      </c>
      <c r="B660" s="947">
        <v>660</v>
      </c>
      <c r="C660" s="1328" t="s">
        <v>3846</v>
      </c>
    </row>
    <row r="661" spans="1:3">
      <c r="A661" s="948">
        <f>MINERGIE!H48</f>
        <v>0</v>
      </c>
      <c r="B661" s="947">
        <v>661</v>
      </c>
      <c r="C661" s="1328" t="s">
        <v>3845</v>
      </c>
    </row>
    <row r="662" spans="1:3">
      <c r="A662" s="948">
        <f>MINERGIE!I48</f>
        <v>0</v>
      </c>
      <c r="B662" s="947">
        <v>662</v>
      </c>
      <c r="C662" s="1328" t="s">
        <v>3844</v>
      </c>
    </row>
    <row r="663" spans="1:3">
      <c r="A663" s="948">
        <f>MINERGIE!E117</f>
        <v>0</v>
      </c>
      <c r="B663" s="947">
        <v>663</v>
      </c>
      <c r="C663" s="1328" t="s">
        <v>2608</v>
      </c>
    </row>
    <row r="664" spans="1:3">
      <c r="A664" s="1325">
        <f>MINERGIE!I63</f>
        <v>0</v>
      </c>
      <c r="B664" s="947">
        <v>664</v>
      </c>
      <c r="C664" s="1328" t="s">
        <v>3859</v>
      </c>
    </row>
    <row r="665" spans="1:3">
      <c r="A665" s="948">
        <f>IF(A664=0,1,VLOOKUP(A664,MINERGIE!$N$11:$T$13,6,FALSE))-1</f>
        <v>0</v>
      </c>
      <c r="B665" s="947">
        <v>665</v>
      </c>
      <c r="C665" s="1328" t="s">
        <v>3860</v>
      </c>
    </row>
    <row r="666" spans="1:3">
      <c r="A666" s="1325">
        <f>MINERGIE!I72</f>
        <v>0</v>
      </c>
      <c r="B666" s="947">
        <v>666</v>
      </c>
      <c r="C666" s="1328" t="s">
        <v>3370</v>
      </c>
    </row>
    <row r="667" spans="1:3">
      <c r="A667" s="948">
        <f>IF(A666=0,1,VLOOKUP(A666,MINERGIE!$N$11:$T$14,7,FALSE))-1</f>
        <v>0</v>
      </c>
      <c r="B667" s="947">
        <v>667</v>
      </c>
      <c r="C667" s="1328" t="s">
        <v>3861</v>
      </c>
    </row>
    <row r="668" spans="1:3">
      <c r="A668" s="948">
        <f>Sommer!I35</f>
        <v>0</v>
      </c>
      <c r="B668" s="947">
        <v>668</v>
      </c>
      <c r="C668" s="1328" t="s">
        <v>3862</v>
      </c>
    </row>
    <row r="669" spans="1:3">
      <c r="A669" s="1326">
        <f>IF(A668=0,1,VLOOKUP(A668,Sommer!$P$11:$S$14,4,FALSE))-1</f>
        <v>0</v>
      </c>
      <c r="B669" s="947">
        <v>669</v>
      </c>
      <c r="C669" s="1328" t="s">
        <v>3863</v>
      </c>
    </row>
    <row r="670" spans="1:3">
      <c r="A670" s="948">
        <f>Sommer!J35</f>
        <v>0</v>
      </c>
      <c r="B670" s="947">
        <v>670</v>
      </c>
      <c r="C670" s="1328" t="s">
        <v>3867</v>
      </c>
    </row>
    <row r="671" spans="1:3">
      <c r="A671" s="1326">
        <f>IF(A670=0,1,VLOOKUP(A670,Sommer!$P$11:$S$14,4,FALSE))-1</f>
        <v>0</v>
      </c>
      <c r="B671" s="947">
        <v>671</v>
      </c>
      <c r="C671" s="1328" t="s">
        <v>3866</v>
      </c>
    </row>
    <row r="672" spans="1:3">
      <c r="A672" s="948">
        <f>Sommer!K35</f>
        <v>0</v>
      </c>
      <c r="B672" s="947">
        <v>672</v>
      </c>
      <c r="C672" s="1328" t="s">
        <v>3868</v>
      </c>
    </row>
    <row r="673" spans="1:3">
      <c r="A673" s="1326">
        <f>IF(A672=0,1,VLOOKUP(A672,Sommer!$P$11:$S$14,4,FALSE))-1</f>
        <v>0</v>
      </c>
      <c r="B673" s="947">
        <v>673</v>
      </c>
      <c r="C673" s="1328" t="s">
        <v>3865</v>
      </c>
    </row>
    <row r="674" spans="1:3">
      <c r="A674" s="948">
        <f>Sommer!L35</f>
        <v>0</v>
      </c>
      <c r="B674" s="947">
        <v>674</v>
      </c>
      <c r="C674" s="1328" t="s">
        <v>3869</v>
      </c>
    </row>
    <row r="675" spans="1:3">
      <c r="A675" s="1326">
        <f>IF(A674=0,1,VLOOKUP(A674,Sommer!$P$11:$S$14,4,FALSE))-1</f>
        <v>0</v>
      </c>
      <c r="B675" s="947">
        <v>675</v>
      </c>
      <c r="C675" s="1328" t="s">
        <v>3864</v>
      </c>
    </row>
    <row r="676" spans="1:3">
      <c r="A676" s="948">
        <f>Sommer!I36</f>
        <v>0</v>
      </c>
      <c r="B676" s="947">
        <v>676</v>
      </c>
      <c r="C676" s="1328" t="s">
        <v>3870</v>
      </c>
    </row>
    <row r="677" spans="1:3">
      <c r="A677" s="1326">
        <f>IF(A676=0,1,VLOOKUP(A676,Sommer!$P$11:$S$14,4,FALSE))-1</f>
        <v>0</v>
      </c>
      <c r="B677" s="947">
        <v>677</v>
      </c>
      <c r="C677" s="1328" t="s">
        <v>3871</v>
      </c>
    </row>
    <row r="678" spans="1:3">
      <c r="A678" s="948">
        <f>Sommer!J36</f>
        <v>0</v>
      </c>
      <c r="B678" s="947">
        <v>678</v>
      </c>
      <c r="C678" s="1328" t="s">
        <v>3872</v>
      </c>
    </row>
    <row r="679" spans="1:3">
      <c r="A679" s="1326">
        <f>IF(A678=0,1,VLOOKUP(A678,Sommer!$P$11:$S$14,4,FALSE))-1</f>
        <v>0</v>
      </c>
      <c r="B679" s="947">
        <v>679</v>
      </c>
      <c r="C679" s="1328" t="s">
        <v>3873</v>
      </c>
    </row>
    <row r="680" spans="1:3">
      <c r="A680" s="948">
        <f>Sommer!K36</f>
        <v>0</v>
      </c>
      <c r="B680" s="947">
        <v>680</v>
      </c>
      <c r="C680" s="1328" t="s">
        <v>3874</v>
      </c>
    </row>
    <row r="681" spans="1:3">
      <c r="A681" s="1326">
        <f>IF(A680=0,1,VLOOKUP(A680,Sommer!$P$11:$S$14,4,FALSE))-1</f>
        <v>0</v>
      </c>
      <c r="B681" s="947">
        <v>681</v>
      </c>
      <c r="C681" s="1328" t="s">
        <v>3875</v>
      </c>
    </row>
    <row r="682" spans="1:3">
      <c r="A682" s="948">
        <f>Sommer!L36</f>
        <v>0</v>
      </c>
      <c r="B682" s="947">
        <v>682</v>
      </c>
      <c r="C682" s="1328" t="s">
        <v>3876</v>
      </c>
    </row>
    <row r="683" spans="1:3">
      <c r="A683" s="1326">
        <f>IF(A682=0,1,VLOOKUP(A682,Sommer!$P$11:$S$14,4,FALSE))-1</f>
        <v>0</v>
      </c>
      <c r="B683" s="947">
        <v>683</v>
      </c>
      <c r="C683" s="1328" t="s">
        <v>3877</v>
      </c>
    </row>
    <row r="684" spans="1:3">
      <c r="A684" s="948">
        <f>Sommer!B43</f>
        <v>0</v>
      </c>
      <c r="B684" s="947">
        <v>684</v>
      </c>
      <c r="C684" s="1328" t="s">
        <v>3878</v>
      </c>
    </row>
    <row r="685" spans="1:3">
      <c r="A685" s="948">
        <f>Sommer!I47</f>
        <v>0</v>
      </c>
      <c r="B685" s="947">
        <v>685</v>
      </c>
      <c r="C685" s="1328" t="s">
        <v>3879</v>
      </c>
    </row>
    <row r="686" spans="1:3">
      <c r="A686" s="1326">
        <f>IF(A685=0,1,VLOOKUP(A685,Sommer!$P$11:$S$14,4,FALSE))-1</f>
        <v>0</v>
      </c>
      <c r="B686" s="947">
        <v>686</v>
      </c>
      <c r="C686" s="1328" t="s">
        <v>3880</v>
      </c>
    </row>
    <row r="687" spans="1:3">
      <c r="A687" s="948">
        <f>Sommer!J47</f>
        <v>0</v>
      </c>
      <c r="B687" s="947">
        <v>687</v>
      </c>
      <c r="C687" s="1328" t="s">
        <v>3881</v>
      </c>
    </row>
    <row r="688" spans="1:3">
      <c r="A688" s="1326">
        <f>IF(A687=0,1,VLOOKUP(A687,Sommer!$P$11:$S$14,4,FALSE))-1</f>
        <v>0</v>
      </c>
      <c r="B688" s="947">
        <v>688</v>
      </c>
      <c r="C688" s="1328" t="s">
        <v>3882</v>
      </c>
    </row>
    <row r="689" spans="1:4">
      <c r="A689" s="948">
        <f>Sommer!K47</f>
        <v>0</v>
      </c>
      <c r="B689" s="947">
        <v>689</v>
      </c>
      <c r="C689" s="1328" t="s">
        <v>3883</v>
      </c>
    </row>
    <row r="690" spans="1:4">
      <c r="A690" s="1326">
        <f>IF(A689=0,1,VLOOKUP(A689,Sommer!$P$11:$S$14,4,FALSE))-1</f>
        <v>0</v>
      </c>
      <c r="B690" s="947">
        <v>690</v>
      </c>
      <c r="C690" s="1328" t="s">
        <v>3884</v>
      </c>
    </row>
    <row r="691" spans="1:4">
      <c r="A691" s="948">
        <f>Sommer!L47</f>
        <v>0</v>
      </c>
      <c r="B691" s="947">
        <v>691</v>
      </c>
      <c r="C691" s="1328" t="s">
        <v>3885</v>
      </c>
    </row>
    <row r="692" spans="1:4">
      <c r="A692" s="1326">
        <f>IF(A691=0,1,VLOOKUP(A691,Sommer!$P$11:$S$14,4,FALSE))-1</f>
        <v>0</v>
      </c>
      <c r="B692" s="947">
        <v>692</v>
      </c>
      <c r="C692" s="1328" t="s">
        <v>3886</v>
      </c>
    </row>
    <row r="693" spans="1:4">
      <c r="A693" s="948">
        <f>Uebersicht!F42</f>
        <v>0</v>
      </c>
      <c r="B693" s="947">
        <v>693</v>
      </c>
      <c r="C693" s="1328" t="s">
        <v>3887</v>
      </c>
    </row>
    <row r="694" spans="1:4">
      <c r="A694" s="948">
        <f>Uebersicht!H42</f>
        <v>0</v>
      </c>
      <c r="B694" s="947">
        <v>694</v>
      </c>
      <c r="C694" s="1328" t="s">
        <v>3888</v>
      </c>
    </row>
    <row r="695" spans="1:4">
      <c r="A695" s="948" t="str">
        <f>IF(A693&lt;&gt;"",Uebersicht!K42,"")</f>
        <v>Nein</v>
      </c>
      <c r="B695" s="947">
        <v>695</v>
      </c>
      <c r="C695" s="1328" t="s">
        <v>3889</v>
      </c>
    </row>
    <row r="696" spans="1:4">
      <c r="A696" s="1326">
        <f>IF(A695="",1,VLOOKUP(A695,Sommer!$P$11:$S$14,4,FALSE))-1</f>
        <v>2</v>
      </c>
      <c r="B696" s="947">
        <v>696</v>
      </c>
      <c r="C696" s="1328" t="s">
        <v>3890</v>
      </c>
    </row>
    <row r="697" spans="1:4">
      <c r="A697" s="948">
        <f>MINERGIE!F36</f>
        <v>0</v>
      </c>
      <c r="B697" s="947">
        <v>697</v>
      </c>
      <c r="C697" s="1328" t="s">
        <v>3985</v>
      </c>
    </row>
    <row r="698" spans="1:4">
      <c r="A698" s="948">
        <f>IF(A697=0,1,VLOOKUP(A697,MINERGIE!$N$11:$P$13,3,FALSE))-1</f>
        <v>0</v>
      </c>
      <c r="B698" s="947">
        <v>698</v>
      </c>
      <c r="C698" s="1328" t="s">
        <v>3986</v>
      </c>
      <c r="D698" s="1323"/>
    </row>
    <row r="699" spans="1:4">
      <c r="A699" s="948">
        <f>MINERGIE!G36</f>
        <v>0</v>
      </c>
      <c r="B699" s="947">
        <v>699</v>
      </c>
      <c r="C699" s="1328" t="s">
        <v>3987</v>
      </c>
    </row>
    <row r="700" spans="1:4">
      <c r="A700" s="948">
        <f>IF(A699=0,1,VLOOKUP(A699,MINERGIE!$N$11:$P$13,3,FALSE))-1</f>
        <v>0</v>
      </c>
      <c r="B700" s="947">
        <v>700</v>
      </c>
      <c r="C700" s="1328" t="s">
        <v>3988</v>
      </c>
    </row>
    <row r="701" spans="1:4">
      <c r="A701" s="948">
        <f>MINERGIE!H36</f>
        <v>0</v>
      </c>
      <c r="B701" s="947">
        <v>701</v>
      </c>
      <c r="C701" s="1328" t="s">
        <v>3989</v>
      </c>
    </row>
    <row r="702" spans="1:4">
      <c r="A702" s="948">
        <f>IF(A701=0,1,VLOOKUP(A701,MINERGIE!$N$11:$P$13,3,FALSE))-1</f>
        <v>0</v>
      </c>
      <c r="B702" s="947">
        <v>702</v>
      </c>
      <c r="C702" s="1328" t="s">
        <v>3990</v>
      </c>
    </row>
    <row r="703" spans="1:4">
      <c r="A703" s="948">
        <f>MINERGIE!I36</f>
        <v>0</v>
      </c>
      <c r="B703" s="947">
        <v>703</v>
      </c>
      <c r="C703" s="1328" t="s">
        <v>3991</v>
      </c>
    </row>
    <row r="704" spans="1:4">
      <c r="A704" s="948">
        <f>IF(A703=0,1,VLOOKUP(A703,MINERGIE!$N$11:$P$13,3,FALSE))-1</f>
        <v>0</v>
      </c>
      <c r="B704" s="947">
        <v>704</v>
      </c>
      <c r="C704" s="1328" t="s">
        <v>3992</v>
      </c>
    </row>
    <row r="705" spans="1:3">
      <c r="A705" s="948">
        <f>IF(AlleZonenNeu,GF_1,)</f>
        <v>0</v>
      </c>
      <c r="B705" s="947">
        <v>705</v>
      </c>
      <c r="C705" s="1328" t="s">
        <v>4611</v>
      </c>
    </row>
    <row r="706" spans="1:3">
      <c r="A706" s="947">
        <f>IF(AlleZonenNeu,Erstellung!F24,)</f>
        <v>0</v>
      </c>
      <c r="B706" s="947">
        <v>706</v>
      </c>
      <c r="C706" s="1328" t="s">
        <v>4034</v>
      </c>
    </row>
    <row r="707" spans="1:3">
      <c r="A707" s="948">
        <f>IF(AlleZonenNeu,Erstellung!K24,)</f>
        <v>0</v>
      </c>
      <c r="B707" s="947">
        <v>707</v>
      </c>
      <c r="C707" s="1328" t="s">
        <v>4613</v>
      </c>
    </row>
    <row r="708" spans="1:3">
      <c r="A708" s="947">
        <f>IF(AlleZonenNeu,Erstellung!F25,)</f>
        <v>0</v>
      </c>
      <c r="B708" s="947">
        <v>708</v>
      </c>
      <c r="C708" s="1328" t="s">
        <v>4033</v>
      </c>
    </row>
    <row r="709" spans="1:3">
      <c r="A709" s="948">
        <f>IF(AlleZonenNeu,Erstellung!K25,)</f>
        <v>0</v>
      </c>
      <c r="B709" s="947">
        <v>709</v>
      </c>
      <c r="C709" s="1328" t="s">
        <v>4612</v>
      </c>
    </row>
    <row r="710" spans="1:3">
      <c r="A710" s="947">
        <f>IF(AlleZonenNeu,Erstellung!F26,)</f>
        <v>0</v>
      </c>
      <c r="B710" s="947">
        <v>710</v>
      </c>
      <c r="C710" s="1328" t="s">
        <v>4031</v>
      </c>
    </row>
    <row r="711" spans="1:3">
      <c r="A711" s="948">
        <f>IF(AlleZonenNeu,Erstellung!K26,)</f>
        <v>0</v>
      </c>
      <c r="B711" s="947">
        <v>711</v>
      </c>
      <c r="C711" s="1328" t="s">
        <v>4614</v>
      </c>
    </row>
    <row r="712" spans="1:3">
      <c r="A712" s="947">
        <f>IF(AlleZonenNeu,Erstellung!F27,)</f>
        <v>0</v>
      </c>
      <c r="B712" s="947">
        <v>712</v>
      </c>
      <c r="C712" s="1328" t="s">
        <v>4027</v>
      </c>
    </row>
    <row r="713" spans="1:3">
      <c r="A713" s="948">
        <f>IF(AlleZonenNeu,Erstellung!K27,)</f>
        <v>0</v>
      </c>
      <c r="B713" s="947">
        <v>713</v>
      </c>
      <c r="C713" s="1328" t="s">
        <v>4615</v>
      </c>
    </row>
    <row r="714" spans="1:3">
      <c r="A714" s="947">
        <f>IF(AlleZonenNeu,Erstellung!F28,)</f>
        <v>0</v>
      </c>
      <c r="B714" s="947">
        <v>714</v>
      </c>
      <c r="C714" s="1328" t="s">
        <v>4032</v>
      </c>
    </row>
    <row r="715" spans="1:3">
      <c r="A715" s="948">
        <f>IF(AlleZonenNeu,Erstellung!K28,)</f>
        <v>0</v>
      </c>
      <c r="B715" s="947">
        <v>715</v>
      </c>
      <c r="C715" s="1328" t="s">
        <v>4759</v>
      </c>
    </row>
    <row r="716" spans="1:3">
      <c r="A716" s="947">
        <f>IF(AlleZonenNeu,Erstellung!F29/100,)</f>
        <v>0</v>
      </c>
      <c r="B716" s="947">
        <v>716</v>
      </c>
      <c r="C716" s="1328" t="s">
        <v>4029</v>
      </c>
    </row>
    <row r="717" spans="1:3">
      <c r="A717" s="948">
        <f>IF(AlleZonenNeu,Erstellung!K29,)</f>
        <v>0</v>
      </c>
      <c r="B717" s="947">
        <v>717</v>
      </c>
      <c r="C717" s="1328" t="s">
        <v>4616</v>
      </c>
    </row>
    <row r="718" spans="1:3">
      <c r="A718" s="947">
        <f>IF(AlleZonenNeu,Erstellung!F30,)</f>
        <v>0</v>
      </c>
      <c r="B718" s="947">
        <v>718</v>
      </c>
      <c r="C718" s="1328" t="s">
        <v>4030</v>
      </c>
    </row>
    <row r="719" spans="1:3">
      <c r="A719" s="948">
        <f>IF(AlleZonenNeu,Erstellung!K30,)</f>
        <v>0</v>
      </c>
      <c r="B719" s="947">
        <v>719</v>
      </c>
      <c r="C719" s="1328" t="s">
        <v>4617</v>
      </c>
    </row>
    <row r="720" spans="1:3">
      <c r="A720" s="947">
        <f>IF(AlleZonenNeu,Erstellung!F31,)</f>
        <v>0</v>
      </c>
      <c r="B720" s="947">
        <v>720</v>
      </c>
      <c r="C720" t="s">
        <v>4028</v>
      </c>
    </row>
    <row r="721" spans="1:3">
      <c r="A721" s="948">
        <f>IF(AlleZonenNeu,IF(Erstellung!K31=1,0,IF(Erstellung!K31,1,2)),)</f>
        <v>0</v>
      </c>
      <c r="B721" s="947">
        <v>721</v>
      </c>
      <c r="C721" s="1328" t="s">
        <v>4618</v>
      </c>
    </row>
    <row r="722" spans="1:3">
      <c r="A722" s="947">
        <f>IF(AlleZonenNeu,Erstellung!F34,)</f>
        <v>0</v>
      </c>
      <c r="B722" s="947">
        <v>722</v>
      </c>
      <c r="C722" s="1328" t="s">
        <v>4619</v>
      </c>
    </row>
    <row r="723" spans="1:3">
      <c r="A723" s="947">
        <f>IF(AlleZonenNeu,Erstellung!H34,)</f>
        <v>0</v>
      </c>
      <c r="B723" s="947">
        <v>723</v>
      </c>
      <c r="C723" s="1328" t="s">
        <v>4620</v>
      </c>
    </row>
    <row r="724" spans="1:3">
      <c r="A724" s="947">
        <f>IF(AlleZonenNeu,Erstellung!F35,)</f>
        <v>0</v>
      </c>
      <c r="B724" s="947">
        <v>724</v>
      </c>
      <c r="C724" s="1328" t="s">
        <v>4621</v>
      </c>
    </row>
    <row r="725" spans="1:3">
      <c r="A725" s="947">
        <f>IF(AlleZonenNeu,Erstellung!H35,)</f>
        <v>0</v>
      </c>
      <c r="B725" s="947">
        <v>725</v>
      </c>
      <c r="C725" s="1328" t="s">
        <v>4622</v>
      </c>
    </row>
    <row r="726" spans="1:3">
      <c r="A726" s="947">
        <f>IF(AlleZonenNeu,Erstellung!H36,)</f>
        <v>0</v>
      </c>
      <c r="B726" s="947">
        <v>726</v>
      </c>
      <c r="C726" s="1328" t="s">
        <v>4623</v>
      </c>
    </row>
    <row r="727" spans="1:3">
      <c r="A727" s="953">
        <f>IF(AlleZonenNeu,Erstellung!R9,)</f>
        <v>0</v>
      </c>
      <c r="B727" s="947">
        <v>727</v>
      </c>
      <c r="C727" s="1328" t="s">
        <v>4655</v>
      </c>
    </row>
    <row r="728" spans="1:3">
      <c r="A728" s="953">
        <f>IF(AlleZonenNeu,Erstellung!T9,)</f>
        <v>0</v>
      </c>
      <c r="B728" s="947">
        <v>728</v>
      </c>
      <c r="C728" s="1328" t="s">
        <v>4656</v>
      </c>
    </row>
    <row r="729" spans="1:3">
      <c r="A729" s="953">
        <f>IF(AlleZonenNeu,Erstellung!V9,)</f>
        <v>0</v>
      </c>
      <c r="B729" s="947">
        <v>729</v>
      </c>
      <c r="C729" s="1328" t="s">
        <v>4657</v>
      </c>
    </row>
    <row r="730" spans="1:3">
      <c r="A730" s="953">
        <f>IF(AlleZonenNeu,Erstellung!X9,)</f>
        <v>0</v>
      </c>
      <c r="B730" s="947">
        <v>730</v>
      </c>
      <c r="C730" s="1328" t="s">
        <v>4658</v>
      </c>
    </row>
    <row r="731" spans="1:3">
      <c r="A731" s="948">
        <f>IF(AlleZonenNeu,Erstellung!S9,)</f>
        <v>0</v>
      </c>
      <c r="B731" s="947">
        <v>731</v>
      </c>
      <c r="C731" s="1328" t="s">
        <v>4659</v>
      </c>
    </row>
    <row r="732" spans="1:3">
      <c r="A732" s="948">
        <f>IF(AlleZonenNeu,Erstellung!U9,)</f>
        <v>0</v>
      </c>
      <c r="B732" s="947">
        <v>732</v>
      </c>
      <c r="C732" s="1328" t="s">
        <v>4660</v>
      </c>
    </row>
    <row r="733" spans="1:3">
      <c r="A733" s="948">
        <f>IF(AlleZonenNeu,Erstellung!W9,)</f>
        <v>0</v>
      </c>
      <c r="B733" s="947">
        <v>733</v>
      </c>
      <c r="C733" s="1328" t="s">
        <v>4661</v>
      </c>
    </row>
    <row r="734" spans="1:3">
      <c r="A734" s="948">
        <f>IF(AlleZonenNeu,Erstellung!Y9,)</f>
        <v>0</v>
      </c>
      <c r="B734" s="947">
        <v>734</v>
      </c>
      <c r="C734" s="1328" t="s">
        <v>4662</v>
      </c>
    </row>
    <row r="735" spans="1:3">
      <c r="A735" s="948">
        <f>IF(AlleZonenNeu,Erstellung!R26,)</f>
        <v>0</v>
      </c>
      <c r="B735" s="947">
        <v>735</v>
      </c>
      <c r="C735" s="1328" t="s">
        <v>4663</v>
      </c>
    </row>
    <row r="736" spans="1:3">
      <c r="A736" s="948">
        <f>IF(AlleZonenNeu,Erstellung!T26,)</f>
        <v>0</v>
      </c>
      <c r="B736" s="947">
        <v>736</v>
      </c>
      <c r="C736" s="1328" t="s">
        <v>4664</v>
      </c>
    </row>
    <row r="737" spans="1:3">
      <c r="A737" s="948">
        <f>IF(AlleZonenNeu,Erstellung!V26,)</f>
        <v>0</v>
      </c>
      <c r="B737" s="947">
        <v>737</v>
      </c>
      <c r="C737" s="1328" t="s">
        <v>4665</v>
      </c>
    </row>
    <row r="738" spans="1:3">
      <c r="A738" s="948">
        <f>IF(AlleZonenNeu,Erstellung!X26,)</f>
        <v>0</v>
      </c>
      <c r="B738" s="947">
        <v>738</v>
      </c>
      <c r="C738" s="1328" t="s">
        <v>4666</v>
      </c>
    </row>
    <row r="739" spans="1:3">
      <c r="A739" s="948">
        <f>IF(AlleZonenNeu,Erstellung!S26,)</f>
        <v>0</v>
      </c>
      <c r="B739" s="947">
        <v>739</v>
      </c>
      <c r="C739" s="1328" t="s">
        <v>4667</v>
      </c>
    </row>
    <row r="740" spans="1:3">
      <c r="A740" s="948">
        <f>IF(AlleZonenNeu,Erstellung!U26,)</f>
        <v>0</v>
      </c>
      <c r="B740" s="947">
        <v>740</v>
      </c>
      <c r="C740" s="1328" t="s">
        <v>4668</v>
      </c>
    </row>
    <row r="741" spans="1:3">
      <c r="A741" s="948">
        <f>IF(AlleZonenNeu,Erstellung!W26,)</f>
        <v>0</v>
      </c>
      <c r="B741" s="947">
        <v>741</v>
      </c>
      <c r="C741" s="1328" t="s">
        <v>4669</v>
      </c>
    </row>
    <row r="742" spans="1:3">
      <c r="A742" s="948">
        <f>IF(AlleZonenNeu,Erstellung!Y26,)</f>
        <v>0</v>
      </c>
      <c r="B742" s="947">
        <v>742</v>
      </c>
      <c r="C742" s="1328" t="s">
        <v>4670</v>
      </c>
    </row>
    <row r="743" spans="1:3">
      <c r="A743" s="948">
        <f>IF(AlleZonenNeu,Erstellung!R27,)</f>
        <v>0</v>
      </c>
      <c r="B743" s="947">
        <v>743</v>
      </c>
      <c r="C743" s="1328" t="s">
        <v>4671</v>
      </c>
    </row>
    <row r="744" spans="1:3">
      <c r="A744" s="948">
        <f>IF(AlleZonenNeu,Erstellung!T27,)</f>
        <v>0</v>
      </c>
      <c r="B744" s="947">
        <v>744</v>
      </c>
      <c r="C744" s="1328" t="s">
        <v>4672</v>
      </c>
    </row>
    <row r="745" spans="1:3">
      <c r="A745" s="948">
        <f>IF(AlleZonenNeu,Erstellung!V27,)</f>
        <v>0</v>
      </c>
      <c r="B745" s="947">
        <v>745</v>
      </c>
      <c r="C745" s="1328" t="s">
        <v>4673</v>
      </c>
    </row>
    <row r="746" spans="1:3">
      <c r="A746" s="948">
        <f>IF(AlleZonenNeu,Erstellung!X27,)</f>
        <v>0</v>
      </c>
      <c r="B746" s="947">
        <v>746</v>
      </c>
      <c r="C746" s="1328" t="s">
        <v>4674</v>
      </c>
    </row>
    <row r="747" spans="1:3">
      <c r="A747" s="948">
        <f>IF(AlleZonenNeu,Erstellung!S27,)</f>
        <v>0</v>
      </c>
      <c r="B747" s="947">
        <v>747</v>
      </c>
      <c r="C747" s="1328" t="s">
        <v>4675</v>
      </c>
    </row>
    <row r="748" spans="1:3">
      <c r="A748" s="948">
        <f>IF(AlleZonenNeu,Erstellung!U27,)</f>
        <v>0</v>
      </c>
      <c r="B748" s="947">
        <v>748</v>
      </c>
      <c r="C748" s="1328" t="s">
        <v>4676</v>
      </c>
    </row>
    <row r="749" spans="1:3">
      <c r="A749" s="948">
        <f>IF(AlleZonenNeu,Erstellung!W27,)</f>
        <v>0</v>
      </c>
      <c r="B749" s="947">
        <v>749</v>
      </c>
      <c r="C749" s="1328" t="s">
        <v>4677</v>
      </c>
    </row>
    <row r="750" spans="1:3">
      <c r="A750" s="948">
        <f>IF(AlleZonenNeu,Erstellung!Y27,)</f>
        <v>0</v>
      </c>
      <c r="B750" s="947">
        <v>750</v>
      </c>
      <c r="C750" s="1328" t="s">
        <v>4678</v>
      </c>
    </row>
    <row r="751" spans="1:3">
      <c r="A751" s="948">
        <f>IF(AlleZonenNeu,Erstellung!R28,)</f>
        <v>0</v>
      </c>
      <c r="B751" s="947">
        <v>751</v>
      </c>
      <c r="C751" s="1328" t="s">
        <v>4679</v>
      </c>
    </row>
    <row r="752" spans="1:3">
      <c r="A752" s="948">
        <f>IF(AlleZonenNeu,Erstellung!T28,)</f>
        <v>0</v>
      </c>
      <c r="B752" s="947">
        <v>752</v>
      </c>
      <c r="C752" s="1328" t="s">
        <v>4680</v>
      </c>
    </row>
    <row r="753" spans="1:3">
      <c r="A753" s="948">
        <f>IF(AlleZonenNeu,Erstellung!V28,)</f>
        <v>0</v>
      </c>
      <c r="B753" s="947">
        <v>753</v>
      </c>
      <c r="C753" s="1328" t="s">
        <v>4681</v>
      </c>
    </row>
    <row r="754" spans="1:3">
      <c r="A754" s="948">
        <f>IF(AlleZonenNeu,Erstellung!X28,)</f>
        <v>0</v>
      </c>
      <c r="B754" s="947">
        <v>754</v>
      </c>
      <c r="C754" s="1328" t="s">
        <v>4682</v>
      </c>
    </row>
    <row r="755" spans="1:3">
      <c r="A755" s="948">
        <f>IF(AlleZonenNeu,Erstellung!S28,)</f>
        <v>0</v>
      </c>
      <c r="B755" s="947">
        <v>755</v>
      </c>
      <c r="C755" s="1328" t="s">
        <v>4683</v>
      </c>
    </row>
    <row r="756" spans="1:3">
      <c r="A756" s="948">
        <f>IF(AlleZonenNeu,Erstellung!U28,)</f>
        <v>0</v>
      </c>
      <c r="B756" s="947">
        <v>756</v>
      </c>
      <c r="C756" s="1328" t="s">
        <v>4684</v>
      </c>
    </row>
    <row r="757" spans="1:3">
      <c r="A757" s="948">
        <f>IF(AlleZonenNeu,Erstellung!W28,)</f>
        <v>0</v>
      </c>
      <c r="B757" s="947">
        <v>757</v>
      </c>
      <c r="C757" s="1328" t="s">
        <v>4685</v>
      </c>
    </row>
    <row r="758" spans="1:3">
      <c r="A758" s="948">
        <f>IF(AlleZonenNeu,Erstellung!Y28,)</f>
        <v>0</v>
      </c>
      <c r="B758" s="947">
        <v>758</v>
      </c>
      <c r="C758" s="1328" t="s">
        <v>4686</v>
      </c>
    </row>
    <row r="759" spans="1:3">
      <c r="A759" s="948">
        <f>IF(AlleZonenNeu,Erstellung!R29,)</f>
        <v>0</v>
      </c>
      <c r="B759" s="947">
        <v>759</v>
      </c>
      <c r="C759" s="1328" t="s">
        <v>4687</v>
      </c>
    </row>
    <row r="760" spans="1:3">
      <c r="A760" s="948">
        <f>IF(AlleZonenNeu,Erstellung!T29,)</f>
        <v>0</v>
      </c>
      <c r="B760" s="947">
        <v>760</v>
      </c>
      <c r="C760" s="1328" t="s">
        <v>4688</v>
      </c>
    </row>
    <row r="761" spans="1:3">
      <c r="A761" s="948">
        <f>IF(AlleZonenNeu,Erstellung!V29,)</f>
        <v>0</v>
      </c>
      <c r="B761" s="947">
        <v>761</v>
      </c>
      <c r="C761" s="1328" t="s">
        <v>4689</v>
      </c>
    </row>
    <row r="762" spans="1:3">
      <c r="A762" s="948">
        <f>IF(AlleZonenNeu,Erstellung!X29,)</f>
        <v>0</v>
      </c>
      <c r="B762" s="947">
        <v>762</v>
      </c>
      <c r="C762" s="1328" t="s">
        <v>4690</v>
      </c>
    </row>
    <row r="763" spans="1:3">
      <c r="A763" s="948">
        <f>IF(AlleZonenNeu,Erstellung!S29,)</f>
        <v>0</v>
      </c>
      <c r="B763" s="947">
        <v>763</v>
      </c>
      <c r="C763" s="1328" t="s">
        <v>4691</v>
      </c>
    </row>
    <row r="764" spans="1:3">
      <c r="A764" s="948">
        <f>IF(AlleZonenNeu,Erstellung!U29,)</f>
        <v>0</v>
      </c>
      <c r="B764" s="947">
        <v>764</v>
      </c>
      <c r="C764" s="1328" t="s">
        <v>4692</v>
      </c>
    </row>
    <row r="765" spans="1:3">
      <c r="A765" s="948">
        <f>IF(AlleZonenNeu,Erstellung!W29,)</f>
        <v>0</v>
      </c>
      <c r="B765" s="947">
        <v>765</v>
      </c>
      <c r="C765" s="1328" t="s">
        <v>4693</v>
      </c>
    </row>
    <row r="766" spans="1:3">
      <c r="A766" s="948">
        <f>IF(AlleZonenNeu,Erstellung!Y29,)</f>
        <v>0</v>
      </c>
      <c r="B766" s="947">
        <v>766</v>
      </c>
      <c r="C766" s="1328" t="s">
        <v>4694</v>
      </c>
    </row>
    <row r="767" spans="1:3">
      <c r="A767" s="948">
        <f>IF(AlleZonenNeu,Erstellung!R30,)</f>
        <v>0</v>
      </c>
      <c r="B767" s="947">
        <v>767</v>
      </c>
      <c r="C767" s="1328" t="s">
        <v>4695</v>
      </c>
    </row>
    <row r="768" spans="1:3">
      <c r="A768" s="948">
        <f>IF(AlleZonenNeu,Erstellung!T30,)</f>
        <v>0</v>
      </c>
      <c r="B768" s="947">
        <v>768</v>
      </c>
      <c r="C768" s="1328" t="s">
        <v>4696</v>
      </c>
    </row>
    <row r="769" spans="1:3">
      <c r="A769" s="948">
        <f>IF(AlleZonenNeu,Erstellung!V30,)</f>
        <v>0</v>
      </c>
      <c r="B769" s="947">
        <v>769</v>
      </c>
      <c r="C769" s="1328" t="s">
        <v>4697</v>
      </c>
    </row>
    <row r="770" spans="1:3">
      <c r="A770" s="948">
        <f>IF(AlleZonenNeu,Erstellung!X30,)</f>
        <v>0</v>
      </c>
      <c r="B770" s="947">
        <v>770</v>
      </c>
      <c r="C770" s="1328" t="s">
        <v>4698</v>
      </c>
    </row>
    <row r="771" spans="1:3">
      <c r="A771" s="948">
        <f>IF(AlleZonenNeu,Erstellung!S30,)</f>
        <v>0</v>
      </c>
      <c r="B771" s="947">
        <v>771</v>
      </c>
      <c r="C771" s="1328" t="s">
        <v>4699</v>
      </c>
    </row>
    <row r="772" spans="1:3">
      <c r="A772" s="948">
        <f>IF(AlleZonenNeu,Erstellung!U30,)</f>
        <v>0</v>
      </c>
      <c r="B772" s="947">
        <v>772</v>
      </c>
      <c r="C772" s="1328" t="s">
        <v>4700</v>
      </c>
    </row>
    <row r="773" spans="1:3">
      <c r="A773" s="948">
        <f>IF(AlleZonenNeu,Erstellung!W30,)</f>
        <v>0</v>
      </c>
      <c r="B773" s="947">
        <v>773</v>
      </c>
      <c r="C773" s="1328" t="s">
        <v>4701</v>
      </c>
    </row>
    <row r="774" spans="1:3">
      <c r="A774" s="948">
        <f>IF(AlleZonenNeu,Erstellung!Y30,)</f>
        <v>0</v>
      </c>
      <c r="B774" s="947">
        <v>774</v>
      </c>
      <c r="C774" s="1328" t="s">
        <v>4702</v>
      </c>
    </row>
    <row r="775" spans="1:3">
      <c r="A775" s="2341">
        <f>IF(AlleZonenNeu,Erstellung!R31,)</f>
        <v>0</v>
      </c>
      <c r="B775" s="2340">
        <v>775</v>
      </c>
      <c r="C775" s="2332" t="s">
        <v>4704</v>
      </c>
    </row>
    <row r="776" spans="1:3">
      <c r="A776" s="2341">
        <f>IF(AlleZonenNeu,Erstellung!T31,)</f>
        <v>0</v>
      </c>
      <c r="B776" s="2340">
        <v>776</v>
      </c>
      <c r="C776" s="2332" t="s">
        <v>4705</v>
      </c>
    </row>
    <row r="777" spans="1:3">
      <c r="A777" s="2341">
        <f>IF(AlleZonenNeu,Erstellung!V31,)</f>
        <v>0</v>
      </c>
      <c r="B777" s="2340">
        <v>777</v>
      </c>
      <c r="C777" s="2332" t="s">
        <v>4706</v>
      </c>
    </row>
    <row r="778" spans="1:3">
      <c r="A778" s="2341">
        <f>IF(AlleZonenNeu,Erstellung!X31,)</f>
        <v>0</v>
      </c>
      <c r="B778" s="2340">
        <v>778</v>
      </c>
      <c r="C778" s="2332" t="s">
        <v>4707</v>
      </c>
    </row>
    <row r="779" spans="1:3">
      <c r="A779" s="2341">
        <f>IF(AlleZonenNeu,Erstellung!S31,)</f>
        <v>0</v>
      </c>
      <c r="B779" s="2340">
        <v>779</v>
      </c>
      <c r="C779" s="2332" t="s">
        <v>4708</v>
      </c>
    </row>
    <row r="780" spans="1:3">
      <c r="A780" s="2341">
        <f>IF(AlleZonenNeu,Erstellung!U31,)</f>
        <v>0</v>
      </c>
      <c r="B780" s="2340">
        <v>780</v>
      </c>
      <c r="C780" s="2332" t="s">
        <v>4709</v>
      </c>
    </row>
    <row r="781" spans="1:3">
      <c r="A781" s="2341">
        <f>IF(AlleZonenNeu,Erstellung!W31,)</f>
        <v>0</v>
      </c>
      <c r="B781" s="2340">
        <v>781</v>
      </c>
      <c r="C781" s="2332" t="s">
        <v>4710</v>
      </c>
    </row>
    <row r="782" spans="1:3">
      <c r="A782" s="2341">
        <f>IF(AlleZonenNeu,Erstellung!Y31,)</f>
        <v>0</v>
      </c>
      <c r="B782" s="2340">
        <v>782</v>
      </c>
      <c r="C782" s="2332" t="s">
        <v>4711</v>
      </c>
    </row>
    <row r="783" spans="1:3">
      <c r="A783" s="2341">
        <f>IF(AlleZonenNeu,Erstellung!R32,)</f>
        <v>0</v>
      </c>
      <c r="B783" s="2340">
        <v>783</v>
      </c>
      <c r="C783" s="2332" t="s">
        <v>4712</v>
      </c>
    </row>
    <row r="784" spans="1:3">
      <c r="A784" s="2341">
        <f>IF(AlleZonenNeu,Erstellung!T32,)</f>
        <v>0</v>
      </c>
      <c r="B784" s="2340">
        <v>784</v>
      </c>
      <c r="C784" s="2332" t="s">
        <v>4713</v>
      </c>
    </row>
    <row r="785" spans="1:3">
      <c r="A785" s="2341">
        <f>IF(AlleZonenNeu,Erstellung!V32,)</f>
        <v>0</v>
      </c>
      <c r="B785" s="2340">
        <v>785</v>
      </c>
      <c r="C785" s="2332" t="s">
        <v>4714</v>
      </c>
    </row>
    <row r="786" spans="1:3">
      <c r="A786" s="2341">
        <f>IF(AlleZonenNeu,Erstellung!X32,)</f>
        <v>0</v>
      </c>
      <c r="B786" s="2340">
        <v>786</v>
      </c>
      <c r="C786" s="2332" t="s">
        <v>4715</v>
      </c>
    </row>
    <row r="787" spans="1:3">
      <c r="A787" s="2341">
        <f>IF(AlleZonenNeu,Erstellung!S32,)</f>
        <v>0</v>
      </c>
      <c r="B787" s="2340">
        <v>787</v>
      </c>
      <c r="C787" s="2332" t="s">
        <v>4716</v>
      </c>
    </row>
    <row r="788" spans="1:3">
      <c r="A788" s="2341">
        <f>IF(AlleZonenNeu,Erstellung!U32,)</f>
        <v>0</v>
      </c>
      <c r="B788" s="2340">
        <v>788</v>
      </c>
      <c r="C788" s="2332" t="s">
        <v>4717</v>
      </c>
    </row>
    <row r="789" spans="1:3">
      <c r="A789" s="2341">
        <f>IF(AlleZonenNeu,Erstellung!W32,)</f>
        <v>0</v>
      </c>
      <c r="B789" s="2340">
        <v>789</v>
      </c>
      <c r="C789" s="2332" t="s">
        <v>4718</v>
      </c>
    </row>
    <row r="790" spans="1:3">
      <c r="A790" s="2341">
        <f>IF(AlleZonenNeu,Erstellung!Y32,)</f>
        <v>0</v>
      </c>
      <c r="B790" s="2340">
        <v>790</v>
      </c>
      <c r="C790" s="2332" t="s">
        <v>4719</v>
      </c>
    </row>
    <row r="791" spans="1:3">
      <c r="A791" s="2341">
        <f>IF(AlleZonenNeu,Erstellung!R18,)</f>
        <v>0</v>
      </c>
      <c r="B791" s="2340">
        <v>791</v>
      </c>
      <c r="C791" s="2332" t="s">
        <v>4727</v>
      </c>
    </row>
    <row r="792" spans="1:3">
      <c r="A792" s="2341">
        <f>IF(AlleZonenNeu,Erstellung!S18,)</f>
        <v>0</v>
      </c>
      <c r="B792" s="2340">
        <v>792</v>
      </c>
      <c r="C792" s="2332" t="s">
        <v>4728</v>
      </c>
    </row>
    <row r="793" spans="1:3">
      <c r="A793" s="2341">
        <f>IF(AlleZonenNeu,Erstellung!R19,)</f>
        <v>0</v>
      </c>
      <c r="B793" s="2340">
        <v>793</v>
      </c>
      <c r="C793" s="2332" t="s">
        <v>4729</v>
      </c>
    </row>
    <row r="794" spans="1:3">
      <c r="A794" s="2341">
        <f>IF(AlleZonenNeu,Erstellung!S19,)</f>
        <v>0</v>
      </c>
      <c r="B794" s="2340">
        <v>794</v>
      </c>
      <c r="C794" s="2332" t="s">
        <v>4730</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Zeros="0" workbookViewId="0"/>
  </sheetViews>
  <sheetFormatPr baseColWidth="10" defaultColWidth="11.42578125" defaultRowHeight="12.75"/>
  <cols>
    <col min="1" max="1" width="3.42578125" style="1543" customWidth="1"/>
    <col min="2" max="2" width="24.7109375" style="1236" customWidth="1"/>
    <col min="3" max="3" width="14.7109375" style="1236" customWidth="1"/>
    <col min="4" max="4" width="7.7109375" style="1236" customWidth="1"/>
    <col min="5" max="5" width="6.7109375" style="1236" customWidth="1"/>
    <col min="6" max="6" width="7.7109375" style="1236" customWidth="1"/>
    <col min="7" max="7" width="10.7109375" style="1236" customWidth="1"/>
    <col min="8" max="8" width="7.7109375" style="1236" customWidth="1"/>
    <col min="9" max="9" width="10.7109375" style="1236" customWidth="1"/>
    <col min="10" max="10" width="0.7109375" style="1236" customWidth="1"/>
    <col min="11" max="11" width="12.7109375" style="1236" customWidth="1"/>
    <col min="12" max="12" width="2.42578125" style="1299" customWidth="1"/>
    <col min="13" max="16384" width="11.42578125" style="1236"/>
  </cols>
  <sheetData>
    <row r="1" spans="1:12" s="5" customFormat="1" ht="15" customHeight="1">
      <c r="A1" s="1517"/>
      <c r="B1" s="2525" t="str">
        <f>MOP!A3</f>
        <v>v2.97</v>
      </c>
      <c r="C1" s="3"/>
      <c r="D1" s="3"/>
      <c r="E1" s="340"/>
      <c r="F1" s="3"/>
      <c r="G1" s="3"/>
      <c r="H1" s="3"/>
      <c r="I1" s="158"/>
      <c r="J1" s="3"/>
      <c r="K1" s="2508" t="str">
        <f>Uebersetzung!D5</f>
        <v>Formular EN101b, v2.97, zu verwenden bis 31. Dezember 2026</v>
      </c>
      <c r="L1" s="2485"/>
    </row>
    <row r="2" spans="1:12" s="5" customFormat="1" ht="20.100000000000001" customHeight="1">
      <c r="A2" s="1517"/>
      <c r="B2" s="1221"/>
      <c r="C2" s="1222"/>
      <c r="D2" s="1223"/>
      <c r="E2" s="1221"/>
      <c r="F2" s="1223"/>
      <c r="G2" s="2971"/>
      <c r="H2" s="2972"/>
      <c r="I2" s="2972"/>
      <c r="J2" s="2972"/>
      <c r="K2" s="2973"/>
      <c r="L2" s="2485"/>
    </row>
    <row r="3" spans="1:12" s="5" customFormat="1" ht="20.100000000000001" customHeight="1">
      <c r="A3" s="1517"/>
      <c r="B3" s="1224"/>
      <c r="C3" s="1225"/>
      <c r="D3" s="1226"/>
      <c r="E3" s="2974" t="str">
        <f>IF(bern,Eingaben!E3,"")</f>
        <v/>
      </c>
      <c r="F3" s="2976"/>
      <c r="G3" s="2974">
        <f>IF(bern,Uebersetzung!D726,)</f>
        <v>0</v>
      </c>
      <c r="H3" s="2975"/>
      <c r="I3" s="2975"/>
      <c r="J3" s="2975"/>
      <c r="K3" s="2976"/>
      <c r="L3" s="2485"/>
    </row>
    <row r="4" spans="1:12" s="5" customFormat="1" ht="20.100000000000001" customHeight="1">
      <c r="A4" s="1517"/>
      <c r="B4" s="1229"/>
      <c r="C4" s="891"/>
      <c r="D4" s="1230"/>
      <c r="E4" s="1229"/>
      <c r="F4" s="1230"/>
      <c r="G4" s="3019">
        <f>IF(bern,Uebersetzung!D727,)</f>
        <v>0</v>
      </c>
      <c r="H4" s="3020"/>
      <c r="I4" s="3020"/>
      <c r="J4" s="3020"/>
      <c r="K4" s="3021"/>
      <c r="L4" s="2485"/>
    </row>
    <row r="5" spans="1:12" s="5" customFormat="1" ht="8.1" customHeight="1">
      <c r="A5" s="1517"/>
      <c r="B5" s="3"/>
      <c r="C5" s="3"/>
      <c r="D5" s="3"/>
      <c r="E5" s="340"/>
      <c r="F5" s="3"/>
      <c r="G5" s="3"/>
      <c r="H5" s="3"/>
      <c r="I5" s="158"/>
      <c r="J5" s="3"/>
      <c r="K5" s="4"/>
      <c r="L5" s="2485"/>
    </row>
    <row r="6" spans="1:12" s="5" customFormat="1" ht="9.9499999999999993" hidden="1" customHeight="1">
      <c r="A6" s="1517"/>
      <c r="B6" s="6"/>
      <c r="C6" s="6"/>
      <c r="D6" s="3"/>
      <c r="E6" s="3"/>
      <c r="F6" s="3"/>
      <c r="G6" s="3"/>
      <c r="H6" s="3"/>
      <c r="I6" s="3"/>
      <c r="J6" s="3"/>
      <c r="L6" s="2485"/>
    </row>
    <row r="7" spans="1:12" s="298" customFormat="1" ht="12" hidden="1" customHeight="1">
      <c r="A7" s="1517"/>
      <c r="B7" s="8"/>
      <c r="C7" s="8"/>
      <c r="D7" s="9"/>
      <c r="E7" s="9"/>
      <c r="F7" s="9"/>
      <c r="G7" s="9"/>
      <c r="H7" s="5"/>
      <c r="I7" s="5"/>
      <c r="J7" s="5"/>
      <c r="K7" s="5"/>
      <c r="L7" s="2485"/>
    </row>
    <row r="8" spans="1:12" s="298" customFormat="1" ht="6" customHeight="1">
      <c r="A8" s="1517"/>
      <c r="B8" s="1210"/>
      <c r="C8" s="981"/>
      <c r="D8" s="1211"/>
      <c r="E8" s="1211"/>
      <c r="F8" s="1211"/>
      <c r="G8" s="1211"/>
      <c r="H8" s="1006"/>
      <c r="I8" s="1006"/>
      <c r="J8" s="1006"/>
      <c r="K8" s="1119"/>
      <c r="L8" s="2485"/>
    </row>
    <row r="9" spans="1:12" s="2581" customFormat="1" ht="24" customHeight="1">
      <c r="A9" s="1518" t="s">
        <v>5225</v>
      </c>
      <c r="B9" s="1220" t="str">
        <f>"  "&amp;Uebersetzung!D725</f>
        <v xml:space="preserve">  Erläuterung</v>
      </c>
      <c r="C9" s="8"/>
      <c r="D9" s="9"/>
      <c r="E9" s="9"/>
      <c r="F9" s="9"/>
      <c r="G9" s="9"/>
      <c r="H9" s="9"/>
      <c r="I9" s="9"/>
      <c r="J9" s="9"/>
      <c r="K9" s="2562"/>
      <c r="L9" s="2580"/>
    </row>
    <row r="10" spans="1:12" s="298" customFormat="1" ht="18" customHeight="1">
      <c r="A10" s="1517"/>
      <c r="B10" s="3022" t="str">
        <f>"  "&amp;Uebersetzung!D728</f>
        <v xml:space="preserve">  Es ist in jedem Fall sowohl die gewichtete Gesamtenergieeffizienz (gGEE) nach Art. 42 KEnG und Art. 30 KEnV</v>
      </c>
      <c r="C10" s="3023"/>
      <c r="D10" s="3023"/>
      <c r="E10" s="3023"/>
      <c r="F10" s="3023"/>
      <c r="G10" s="3023"/>
      <c r="H10" s="3023"/>
      <c r="I10" s="3023"/>
      <c r="J10" s="3023"/>
      <c r="K10" s="3024"/>
      <c r="L10" s="2485"/>
    </row>
    <row r="11" spans="1:12" s="298" customFormat="1" ht="18" customHeight="1">
      <c r="A11" s="1517"/>
      <c r="B11" s="3022" t="str">
        <f>"  "&amp;Uebersetzung!D729</f>
        <v xml:space="preserve">  als auch die Solarpflicht zu erfüllen.</v>
      </c>
      <c r="C11" s="3023"/>
      <c r="D11" s="3023"/>
      <c r="E11" s="3023"/>
      <c r="F11" s="3023"/>
      <c r="G11" s="3023"/>
      <c r="H11" s="3023"/>
      <c r="I11" s="3023"/>
      <c r="J11" s="3023"/>
      <c r="K11" s="3024"/>
      <c r="L11" s="2485"/>
    </row>
    <row r="12" spans="1:12" s="298" customFormat="1" ht="18" customHeight="1">
      <c r="A12" s="1517"/>
      <c r="B12" s="1212" t="str">
        <f>"  "&amp;Uebersetzung!D730</f>
        <v xml:space="preserve">  Bei neuen auf Dauer angelegten kleinen Wohnbauten (anrechenbare Gebäudefläche ≤ 300 m2) kann die erleichterte Solarpflicht</v>
      </c>
      <c r="C12" s="8"/>
      <c r="D12" s="8"/>
      <c r="E12" s="8"/>
      <c r="F12" s="8"/>
      <c r="G12" s="8"/>
      <c r="H12" s="8"/>
      <c r="I12" s="8"/>
      <c r="J12" s="8"/>
      <c r="K12" s="641"/>
      <c r="L12" s="2485"/>
    </row>
    <row r="13" spans="1:12" s="298" customFormat="1" ht="18" customHeight="1">
      <c r="A13" s="1517"/>
      <c r="B13" s="1212" t="str">
        <f>"  "&amp;Uebersetzung!D731</f>
        <v xml:space="preserve">  nach Art. 39b KEnG geltend gemacht werden, wenn der Gesamtsolarertrag mindestens dem halben Normbedarf entspricht.</v>
      </c>
      <c r="C13" s="8"/>
      <c r="D13" s="8"/>
      <c r="E13" s="8"/>
      <c r="F13" s="8"/>
      <c r="G13" s="8"/>
      <c r="H13" s="8"/>
      <c r="I13" s="8"/>
      <c r="J13" s="8"/>
      <c r="K13" s="641"/>
      <c r="L13" s="2485"/>
    </row>
    <row r="14" spans="1:12" s="298" customFormat="1" ht="18" customHeight="1">
      <c r="A14" s="1517"/>
      <c r="B14" s="1212" t="str">
        <f>"  "&amp;Uebersetzung!D732</f>
        <v xml:space="preserve">  Hinweis: Die automatische Berechnung des Registerblatts erfolgt, wenn der Neubau ausschliesslich Wohnnutzung und eine</v>
      </c>
      <c r="C14" s="8"/>
      <c r="D14" s="8"/>
      <c r="E14" s="8"/>
      <c r="F14" s="8"/>
      <c r="G14" s="8"/>
      <c r="H14" s="8"/>
      <c r="I14" s="8"/>
      <c r="J14" s="8"/>
      <c r="K14" s="641"/>
      <c r="L14" s="2485"/>
    </row>
    <row r="15" spans="1:12" s="298" customFormat="1" ht="18" customHeight="1">
      <c r="A15" s="1517"/>
      <c r="B15" s="1212" t="str">
        <f>"  "&amp;Uebersetzung!D746</f>
        <v xml:space="preserve">  anrechenbare Gebäudefläche ≤ 300 m2 aufweist.</v>
      </c>
      <c r="C15" s="8"/>
      <c r="D15" s="8"/>
      <c r="E15" s="8"/>
      <c r="F15" s="8"/>
      <c r="G15" s="8"/>
      <c r="H15" s="8"/>
      <c r="I15" s="8"/>
      <c r="J15" s="8"/>
      <c r="K15" s="641"/>
      <c r="L15" s="2485"/>
    </row>
    <row r="16" spans="1:12" s="298" customFormat="1" ht="18" customHeight="1">
      <c r="A16" s="1517"/>
      <c r="B16" s="2636" t="str">
        <f>"  "&amp;Uebersetzung!D747</f>
        <v xml:space="preserve">   </v>
      </c>
      <c r="C16" s="2637"/>
      <c r="D16" s="2637"/>
      <c r="E16" s="2637"/>
      <c r="F16" s="2637"/>
      <c r="G16" s="2637"/>
      <c r="H16" s="2637"/>
      <c r="I16" s="2637"/>
      <c r="J16" s="2637"/>
      <c r="K16" s="3018"/>
      <c r="L16" s="2485"/>
    </row>
    <row r="17" spans="1:14" s="298" customFormat="1" ht="9.9499999999999993" customHeight="1">
      <c r="A17" s="1517"/>
      <c r="B17" s="8"/>
      <c r="C17" s="8"/>
      <c r="D17" s="9"/>
      <c r="E17" s="9"/>
      <c r="F17" s="9"/>
      <c r="G17" s="9"/>
      <c r="H17" s="5"/>
      <c r="I17" s="5"/>
      <c r="J17" s="5"/>
      <c r="K17" s="5"/>
      <c r="L17" s="2485"/>
    </row>
    <row r="18" spans="1:14" s="298" customFormat="1" ht="27.95" customHeight="1">
      <c r="A18" s="1518" t="s">
        <v>5226</v>
      </c>
      <c r="B18" s="369" t="str">
        <f>"  "&amp;Uebersetzung!D418</f>
        <v xml:space="preserve">  Projekt</v>
      </c>
      <c r="C18" s="1213"/>
      <c r="D18" s="1214"/>
      <c r="E18" s="1214"/>
      <c r="F18" s="1214"/>
      <c r="G18" s="1214" t="str">
        <f>Uebersetzung!D18</f>
        <v xml:space="preserve">Art des Nachweises: </v>
      </c>
      <c r="H18" s="673"/>
      <c r="I18" s="1214" t="str">
        <f>MINERGIE!F13</f>
        <v>behördlicher Nachweis</v>
      </c>
      <c r="J18" s="673"/>
      <c r="K18" s="882"/>
      <c r="L18" s="2485"/>
    </row>
    <row r="19" spans="1:14" s="298" customFormat="1" ht="27.95" customHeight="1">
      <c r="A19" s="1517" t="s">
        <v>5227</v>
      </c>
      <c r="B19" s="777" t="str">
        <f>"  "&amp;Uebersetzung!D356</f>
        <v xml:space="preserve">  Projektname:</v>
      </c>
      <c r="C19" s="2981" t="str">
        <f>IF(Projekt1="","",Projekt1)</f>
        <v/>
      </c>
      <c r="D19" s="2981"/>
      <c r="E19" s="2981"/>
      <c r="F19" s="2981"/>
      <c r="G19" s="864" t="str">
        <f>Uebersetzung!D10</f>
        <v xml:space="preserve">Parz.-Nr.:  </v>
      </c>
      <c r="H19" s="1237">
        <f>Projekt2</f>
        <v>0</v>
      </c>
      <c r="I19" s="1396" t="str">
        <f>Uebersetzung!D11</f>
        <v xml:space="preserve">Geb.-Nr.:  </v>
      </c>
      <c r="J19" s="1234"/>
      <c r="K19" s="1238">
        <f>Projekt3</f>
        <v>0</v>
      </c>
      <c r="L19" s="2485"/>
    </row>
    <row r="20" spans="1:14" s="298" customFormat="1" ht="27.95" customHeight="1">
      <c r="A20" s="1517" t="s">
        <v>5268</v>
      </c>
      <c r="B20" s="778" t="str">
        <f>"  "&amp;Uebersetzung!D359</f>
        <v xml:space="preserve">  Gebäudeadresse:</v>
      </c>
      <c r="C20" s="2979">
        <f>Eingaben!C8</f>
        <v>0</v>
      </c>
      <c r="D20" s="2979"/>
      <c r="E20" s="2979"/>
      <c r="F20" s="2979"/>
      <c r="G20" s="2979"/>
      <c r="H20" s="2979"/>
      <c r="I20" s="2979"/>
      <c r="J20" s="2979"/>
      <c r="K20" s="2980"/>
      <c r="L20" s="2485"/>
    </row>
    <row r="21" spans="1:14" s="298" customFormat="1" ht="9.9499999999999993" customHeight="1">
      <c r="A21" s="1518"/>
      <c r="B21" s="5"/>
      <c r="C21" s="5"/>
      <c r="D21" s="5"/>
      <c r="E21" s="5"/>
      <c r="F21" s="9"/>
      <c r="G21" s="9"/>
      <c r="H21" s="5"/>
      <c r="I21" s="5"/>
      <c r="J21" s="5"/>
      <c r="K21" s="5"/>
      <c r="L21" s="2485"/>
    </row>
    <row r="22" spans="1:14" s="298" customFormat="1" ht="24" customHeight="1">
      <c r="A22" s="1518" t="s">
        <v>5283</v>
      </c>
      <c r="B22" s="2507" t="str">
        <f>"  "&amp;Uebersetzung!D294</f>
        <v xml:space="preserve">  Anforderung</v>
      </c>
      <c r="C22" s="980"/>
      <c r="D22" s="981"/>
      <c r="E22" s="982"/>
      <c r="F22" s="983"/>
      <c r="G22" s="984"/>
      <c r="H22" s="985"/>
      <c r="I22" s="989"/>
      <c r="J22" s="986"/>
      <c r="K22" s="987"/>
      <c r="L22" s="2485"/>
    </row>
    <row r="23" spans="1:14" s="298" customFormat="1" ht="15.95" customHeight="1">
      <c r="A23" s="1517"/>
      <c r="B23" s="2563"/>
      <c r="C23" s="2577"/>
      <c r="D23" s="2577"/>
      <c r="E23" s="2564"/>
      <c r="F23" s="3015" t="str">
        <f>Uebersetzung!D744</f>
        <v>Projektwert</v>
      </c>
      <c r="G23" s="3015"/>
      <c r="H23" s="3015" t="str">
        <f>Uebersetzung!D294</f>
        <v>Anforderung</v>
      </c>
      <c r="I23" s="3015"/>
      <c r="J23" s="3013"/>
      <c r="K23" s="3014"/>
      <c r="L23" s="2485"/>
    </row>
    <row r="24" spans="1:14" s="298" customFormat="1" ht="30" customHeight="1">
      <c r="A24" s="1518" t="s">
        <v>5284</v>
      </c>
      <c r="B24" s="1217" t="str">
        <f>"  "&amp;Uebersetzung!D736</f>
        <v xml:space="preserve">  Anrechenbare Gebäudefläche</v>
      </c>
      <c r="C24" s="2565"/>
      <c r="D24" s="2578"/>
      <c r="E24" s="2566" t="s">
        <v>5220</v>
      </c>
      <c r="F24" s="3012">
        <f>K43</f>
        <v>0</v>
      </c>
      <c r="G24" s="3012"/>
      <c r="H24" s="3012" t="s">
        <v>5263</v>
      </c>
      <c r="I24" s="3012"/>
      <c r="J24" s="3016" t="str">
        <f>IF(Solarpflicht,Uebersetzung!D25,Uebersetzung!D26)</f>
        <v>Nein</v>
      </c>
      <c r="K24" s="3017"/>
      <c r="L24" s="2485"/>
    </row>
    <row r="25" spans="1:14" s="298" customFormat="1" ht="30" customHeight="1">
      <c r="A25" s="1518" t="s">
        <v>5228</v>
      </c>
      <c r="B25" s="1217" t="str">
        <f>"  "&amp;Uebersetzung!D737</f>
        <v xml:space="preserve">  Heizwärmebedarf Wohnbauten (Neubau)</v>
      </c>
      <c r="C25" s="2565"/>
      <c r="D25" s="2579" t="s">
        <v>5218</v>
      </c>
      <c r="E25" s="2566" t="s">
        <v>5221</v>
      </c>
      <c r="F25" s="3011">
        <f>K40*K45</f>
        <v>0</v>
      </c>
      <c r="G25" s="3011"/>
      <c r="H25" s="3012"/>
      <c r="I25" s="3012"/>
      <c r="J25" s="3005"/>
      <c r="K25" s="3006"/>
      <c r="L25" s="2485"/>
    </row>
    <row r="26" spans="1:14" s="298" customFormat="1" ht="30" customHeight="1">
      <c r="A26" s="1518" t="s">
        <v>5229</v>
      </c>
      <c r="B26" s="1217" t="str">
        <f>"  "&amp;Uebersetzung!D748</f>
        <v xml:space="preserve">  Normbedarf Warmwasser Wohnbauten</v>
      </c>
      <c r="C26" s="2599"/>
      <c r="D26" s="2579" t="s">
        <v>5286</v>
      </c>
      <c r="E26" s="2600" t="s">
        <v>5221</v>
      </c>
      <c r="F26" s="3011">
        <f>K40*K46</f>
        <v>0</v>
      </c>
      <c r="G26" s="3011"/>
      <c r="H26" s="3012"/>
      <c r="I26" s="3012"/>
      <c r="J26" s="3005"/>
      <c r="K26" s="3006"/>
      <c r="L26" s="2485"/>
    </row>
    <row r="27" spans="1:14" s="298" customFormat="1" ht="30" customHeight="1">
      <c r="A27" s="1518" t="s">
        <v>5230</v>
      </c>
      <c r="B27" s="1217" t="str">
        <f>"  "&amp;Uebersetzung!D738</f>
        <v xml:space="preserve">  Norm-Strombedarf Wohnbauten</v>
      </c>
      <c r="C27" s="2565"/>
      <c r="D27" s="2579" t="s">
        <v>5219</v>
      </c>
      <c r="E27" s="2566" t="s">
        <v>5221</v>
      </c>
      <c r="F27" s="3011">
        <f>K47*K40</f>
        <v>0</v>
      </c>
      <c r="G27" s="3011"/>
      <c r="H27" s="3012"/>
      <c r="I27" s="3012"/>
      <c r="J27" s="3005"/>
      <c r="K27" s="3006"/>
      <c r="L27" s="2485"/>
    </row>
    <row r="28" spans="1:14" s="298" customFormat="1" ht="30" customHeight="1">
      <c r="A28" s="1518" t="s">
        <v>5231</v>
      </c>
      <c r="B28" s="2603" t="str">
        <f>"  "&amp;Uebersetzung!D739</f>
        <v xml:space="preserve">  Halber Normbedarf</v>
      </c>
      <c r="C28" s="2604"/>
      <c r="D28" s="2605" t="s">
        <v>5308</v>
      </c>
      <c r="E28" s="2606" t="s">
        <v>5221</v>
      </c>
      <c r="F28" s="2999"/>
      <c r="G28" s="3000"/>
      <c r="H28" s="3010">
        <f>(F25+F26+F27)/2</f>
        <v>0</v>
      </c>
      <c r="I28" s="3010"/>
      <c r="J28" s="3001"/>
      <c r="K28" s="3002"/>
      <c r="L28" s="2485"/>
    </row>
    <row r="29" spans="1:14" s="298" customFormat="1" ht="30" customHeight="1">
      <c r="A29" s="1518" t="s">
        <v>5232</v>
      </c>
      <c r="B29" s="1217" t="str">
        <f>"  "&amp;Uebersetzung!D740</f>
        <v xml:space="preserve">  Jahresertrag Solarthermie</v>
      </c>
      <c r="C29" s="2565"/>
      <c r="D29" s="2578"/>
      <c r="E29" s="2566" t="s">
        <v>5221</v>
      </c>
      <c r="F29" s="3011">
        <f>K52</f>
        <v>0</v>
      </c>
      <c r="G29" s="3011"/>
      <c r="H29" s="3012"/>
      <c r="I29" s="3012"/>
      <c r="J29" s="3005"/>
      <c r="K29" s="3006"/>
      <c r="L29" s="2485"/>
    </row>
    <row r="30" spans="1:14" s="298" customFormat="1" ht="30" customHeight="1">
      <c r="A30" s="1518" t="s">
        <v>5233</v>
      </c>
      <c r="B30" s="1217" t="str">
        <f>"  "&amp;Uebersetzung!D741</f>
        <v xml:space="preserve">  Jahresertrag Photovoltaik</v>
      </c>
      <c r="C30" s="2565"/>
      <c r="D30" s="2578"/>
      <c r="E30" s="2566" t="s">
        <v>5221</v>
      </c>
      <c r="F30" s="3011">
        <f>K55</f>
        <v>0</v>
      </c>
      <c r="G30" s="3011"/>
      <c r="H30" s="3012"/>
      <c r="I30" s="3012"/>
      <c r="J30" s="3005"/>
      <c r="K30" s="3006"/>
      <c r="L30" s="804"/>
    </row>
    <row r="31" spans="1:14" s="298" customFormat="1" ht="30" customHeight="1">
      <c r="A31" s="1518" t="s">
        <v>5234</v>
      </c>
      <c r="B31" s="2603" t="str">
        <f>"  "&amp;Uebersetzung!D742</f>
        <v xml:space="preserve">  Gesamtjahresertrag (Solarthermie + PV)</v>
      </c>
      <c r="C31" s="2604"/>
      <c r="D31" s="2607"/>
      <c r="E31" s="2606" t="s">
        <v>5221</v>
      </c>
      <c r="F31" s="3010">
        <f>F29+F30</f>
        <v>0</v>
      </c>
      <c r="G31" s="3010"/>
      <c r="H31" s="2999"/>
      <c r="I31" s="3000"/>
      <c r="J31" s="3007"/>
      <c r="K31" s="3008"/>
      <c r="L31" s="2485"/>
      <c r="M31" s="2998"/>
      <c r="N31" s="2998"/>
    </row>
    <row r="32" spans="1:14" s="5" customFormat="1" ht="30" customHeight="1">
      <c r="A32" s="1518" t="s">
        <v>5269</v>
      </c>
      <c r="B32" s="2594" t="str">
        <f>"  "&amp;Uebersetzung!D743</f>
        <v xml:space="preserve">  Gesamtjahresertrag entspricht mindestens halbem Normbedarf?</v>
      </c>
      <c r="C32" s="2595"/>
      <c r="D32" s="2595"/>
      <c r="E32" s="2596"/>
      <c r="F32" s="3009"/>
      <c r="G32" s="3009"/>
      <c r="H32" s="3009"/>
      <c r="I32" s="3009"/>
      <c r="J32" s="3003" t="str">
        <f>IF(AND(solar_erfüllt=FALSE,Solarpflicht),Uebersetzung!D26,Uebersetzung!D25)</f>
        <v>Ja</v>
      </c>
      <c r="K32" s="3004"/>
      <c r="L32" s="2488"/>
    </row>
    <row r="33" spans="1:12" s="5" customFormat="1" ht="15.95" customHeight="1">
      <c r="A33" s="1518"/>
      <c r="B33" s="2597" t="str">
        <f>"  "&amp;Uebersetzung!D752</f>
        <v xml:space="preserve">  </v>
      </c>
      <c r="C33" s="981"/>
      <c r="D33" s="981"/>
      <c r="E33" s="981"/>
      <c r="F33" s="981"/>
      <c r="G33" s="981"/>
      <c r="H33" s="981"/>
      <c r="I33" s="981"/>
      <c r="J33" s="981"/>
      <c r="K33" s="2598"/>
      <c r="L33" s="2488"/>
    </row>
    <row r="34" spans="1:12" s="5" customFormat="1" ht="15.95" customHeight="1">
      <c r="A34" s="1518" t="s">
        <v>5270</v>
      </c>
      <c r="B34" s="1212" t="str">
        <f>"  "&amp;Uebersetzung!D733</f>
        <v xml:space="preserve">  Wenn der Gesamtjahresertrag (Zeile P31) mindestens dem halben Normbedarf (Zeile P28) entspricht und der Neubau</v>
      </c>
      <c r="C34" s="8"/>
      <c r="D34" s="8"/>
      <c r="E34" s="8"/>
      <c r="F34" s="8"/>
      <c r="G34" s="8"/>
      <c r="H34" s="8"/>
      <c r="I34" s="8"/>
      <c r="J34" s="8"/>
      <c r="K34" s="641"/>
      <c r="L34" s="2488"/>
    </row>
    <row r="35" spans="1:12" s="5" customFormat="1" ht="15.95" customHeight="1">
      <c r="A35" s="1518"/>
      <c r="B35" s="1212" t="str">
        <f>"  "&amp;Uebersetzung!D734</f>
        <v xml:space="preserve">  die Bedingungen für die erleichterte Solarpflicht erfüllt, dient dieses Blatt als Beilage zum Nachweis EN-Solar BE.</v>
      </c>
      <c r="C35" s="8"/>
      <c r="D35" s="8"/>
      <c r="E35" s="8"/>
      <c r="F35" s="8"/>
      <c r="G35" s="8"/>
      <c r="H35" s="8"/>
      <c r="I35" s="8"/>
      <c r="J35" s="8"/>
      <c r="K35" s="641"/>
      <c r="L35" s="2488"/>
    </row>
    <row r="36" spans="1:12" s="5" customFormat="1" ht="15.95" customHeight="1">
      <c r="A36" s="1518"/>
      <c r="B36" s="1212" t="str">
        <f>"  "&amp;Uebersetzung!D735</f>
        <v xml:space="preserve">  </v>
      </c>
      <c r="C36" s="8"/>
      <c r="D36" s="8"/>
      <c r="E36" s="8"/>
      <c r="F36" s="8"/>
      <c r="G36" s="8"/>
      <c r="H36" s="8"/>
      <c r="I36" s="8"/>
      <c r="J36" s="8"/>
      <c r="K36" s="641"/>
      <c r="L36" s="2485"/>
    </row>
    <row r="37" spans="1:12" s="5" customFormat="1" ht="9.9499999999999993" customHeight="1">
      <c r="A37" s="1518"/>
      <c r="B37" s="2590"/>
      <c r="C37" s="2591"/>
      <c r="D37" s="2591"/>
      <c r="E37" s="2591"/>
      <c r="F37" s="2591"/>
      <c r="G37" s="2591"/>
      <c r="H37" s="2591"/>
      <c r="I37" s="2591"/>
      <c r="J37" s="2591"/>
      <c r="K37" s="2592"/>
      <c r="L37" s="2485"/>
    </row>
    <row r="38" spans="1:12" s="495" customFormat="1">
      <c r="A38" s="1520"/>
      <c r="B38" s="2567">
        <f ca="1">NOW()</f>
        <v>46034.719198842591</v>
      </c>
      <c r="C38" s="5"/>
      <c r="D38" s="5"/>
      <c r="E38" s="5"/>
      <c r="F38" s="5"/>
      <c r="G38" s="5"/>
      <c r="H38" s="5"/>
      <c r="I38" s="5"/>
      <c r="J38" s="5"/>
      <c r="K38" s="779" t="str">
        <f>Eingaben!K47</f>
        <v xml:space="preserve"> /  /  /  /  /  / </v>
      </c>
      <c r="L38" s="2500"/>
    </row>
    <row r="39" spans="1:12" s="495" customFormat="1" ht="15.95" hidden="1" customHeight="1">
      <c r="A39" s="1520"/>
      <c r="E39" s="1235" t="s">
        <v>5207</v>
      </c>
      <c r="F39" s="2573">
        <v>1</v>
      </c>
      <c r="G39" s="2573">
        <v>2</v>
      </c>
      <c r="H39" s="2573">
        <v>3</v>
      </c>
      <c r="I39" s="2574">
        <v>4</v>
      </c>
      <c r="L39" s="2500"/>
    </row>
    <row r="40" spans="1:12" ht="15.95" hidden="1" customHeight="1">
      <c r="B40" s="2213" t="s">
        <v>5203</v>
      </c>
      <c r="F40" s="2570">
        <f>IF(AND(wohnen1,_neu1),Eingaben!F19,0)</f>
        <v>0</v>
      </c>
      <c r="G40" s="2570">
        <f>IF(AND(wohnen2,_neu2),Eingaben!G19,0)</f>
        <v>0</v>
      </c>
      <c r="H40" s="2570">
        <f>IF(AND(wohnen3,_neu3),Eingaben!H19,0)</f>
        <v>0</v>
      </c>
      <c r="I40" s="2570">
        <f>IF(AND(wohnen4,_neu4),Eingaben!I19,0)</f>
        <v>0</v>
      </c>
      <c r="J40" s="2570"/>
      <c r="K40" s="2570">
        <f>SUM(F40:I40)</f>
        <v>0</v>
      </c>
    </row>
    <row r="41" spans="1:12" ht="15.95" hidden="1" customHeight="1">
      <c r="B41" s="2213" t="s">
        <v>5253</v>
      </c>
      <c r="F41" s="2570">
        <f>IF(AND(_neu1,Kategorie1&gt;3,Eingaben!F19&gt;0),Eingaben!F19,0)</f>
        <v>0</v>
      </c>
      <c r="G41" s="2570">
        <f>IF(AND(_neu2,Kategorie2&gt;3,Eingaben!G19&gt;0),Eingaben!G19,0)</f>
        <v>0</v>
      </c>
      <c r="H41" s="2570">
        <f>IF(AND(_neu3,Kategorie3&gt;3,Eingaben!H19&gt;0),Eingaben!H19,0)</f>
        <v>0</v>
      </c>
      <c r="I41" s="2570">
        <f>IF(AND(_neu4,Kategorie4&gt;3,Eingaben!I19&gt;0),Eingaben!I19,0)</f>
        <v>0</v>
      </c>
      <c r="J41" s="2570"/>
      <c r="K41" s="2570">
        <f>SUM(F41:I41)</f>
        <v>0</v>
      </c>
    </row>
    <row r="42" spans="1:12" ht="15.95" hidden="1" customHeight="1">
      <c r="B42" s="2213" t="s">
        <v>5254</v>
      </c>
      <c r="F42" s="2570"/>
      <c r="G42" s="2570"/>
      <c r="H42" s="2570"/>
      <c r="I42" s="2570"/>
      <c r="J42" s="2570"/>
      <c r="K42" s="2570" t="b">
        <f>IF(K41&gt;0,TRUE,FALSE)</f>
        <v>0</v>
      </c>
    </row>
    <row r="43" spans="1:12" ht="15.95" hidden="1" customHeight="1">
      <c r="B43" s="2213" t="s">
        <v>5248</v>
      </c>
      <c r="F43" s="2585">
        <f>IF(AND(bern,EBF_wohnen_neu1&gt;0),Eingaben!F20,0)</f>
        <v>0</v>
      </c>
      <c r="G43" s="2585">
        <f>IF(AND(bern,EBF_wohnen_neu2&gt;0),Eingaben!G20,0)</f>
        <v>0</v>
      </c>
      <c r="H43" s="2585">
        <f>IF(AND(bern,EBF_wohnen_neu3&gt;0),Eingaben!H20,0)</f>
        <v>0</v>
      </c>
      <c r="I43" s="2585">
        <f>IF(AND(bern,EBF_wohnen_neu4&gt;0),Eingaben!I20,0)</f>
        <v>0</v>
      </c>
      <c r="K43" s="2570">
        <f>SUM(F43:J43)</f>
        <v>0</v>
      </c>
    </row>
    <row r="44" spans="1:12" ht="15.95" hidden="1" customHeight="1">
      <c r="B44" s="2213" t="s">
        <v>5252</v>
      </c>
      <c r="F44" s="2570"/>
      <c r="G44" s="2570"/>
      <c r="H44" s="2570"/>
      <c r="I44" s="2570"/>
      <c r="J44" s="2570"/>
      <c r="K44" s="2570" t="b">
        <f>IF(AND(K43&lt;=300,K43&gt;0),IF(K41&gt;0,FALSE,TRUE),FALSE)</f>
        <v>0</v>
      </c>
    </row>
    <row r="45" spans="1:12" ht="15.95" hidden="1" customHeight="1">
      <c r="B45" s="2213" t="s">
        <v>5204</v>
      </c>
      <c r="F45" s="2571">
        <f>IF(AND(wohnen1,_neu1),Eingaben!F46,0)</f>
        <v>0</v>
      </c>
      <c r="G45" s="2571">
        <f>IF(AND(wohnen2,_neu2),Eingaben!G46,0)</f>
        <v>0</v>
      </c>
      <c r="H45" s="2571">
        <f>IF(AND(wohnen3,_neu3),Eingaben!H46,0)</f>
        <v>0</v>
      </c>
      <c r="I45" s="2571">
        <f>IF(AND(wohnen4,_neu4),Eingaben!I46,0)</f>
        <v>0</v>
      </c>
      <c r="K45" s="2571">
        <f>IF(K40&gt;0,SUMPRODUCT(F40:I40,F45:I45)/K40,0)</f>
        <v>0</v>
      </c>
    </row>
    <row r="46" spans="1:12" ht="15.95" hidden="1" customHeight="1">
      <c r="B46" s="2213" t="s">
        <v>5288</v>
      </c>
      <c r="F46" s="2571">
        <f>IF(AND(wohnen1,_neu1),_qw1,0)</f>
        <v>0</v>
      </c>
      <c r="G46" s="2571">
        <f>IF(AND(wohnen2,_neu2),_qw2,0)</f>
        <v>0</v>
      </c>
      <c r="H46" s="2571">
        <f>IF(AND(wohnen3,_neu3),_qw3,0)</f>
        <v>0</v>
      </c>
      <c r="I46" s="2571">
        <f>IF(AND(wohnen4,_neu4),_qw4,0)</f>
        <v>0</v>
      </c>
      <c r="K46" s="2571">
        <f>IF(K40&gt;0,SUMPRODUCT(F40:I40,F46:I46)/K40,0)</f>
        <v>0</v>
      </c>
    </row>
    <row r="47" spans="1:12" ht="15.95" hidden="1" customHeight="1">
      <c r="B47" s="2213" t="s">
        <v>5205</v>
      </c>
      <c r="F47" s="2571">
        <f>IF(_neu1,MINERGIE!O44/2,0)</f>
        <v>0</v>
      </c>
      <c r="G47" s="2571">
        <f>IF(_neu2,MINERGIE!P44/2,0)</f>
        <v>0</v>
      </c>
      <c r="H47" s="2571">
        <f>IF(_neu3,MINERGIE!Q44/2,0)</f>
        <v>0</v>
      </c>
      <c r="I47" s="2571">
        <f>IF(_neu4,MINERGIE!R44/2,0)</f>
        <v>0</v>
      </c>
      <c r="K47" s="2571">
        <f>IF(K40&gt;0,SUMPRODUCT(F40:I40,F47:I47)/K40,0)</f>
        <v>0</v>
      </c>
    </row>
    <row r="48" spans="1:12" ht="15.95" hidden="1" customHeight="1">
      <c r="B48" s="2213" t="s">
        <v>5206</v>
      </c>
      <c r="K48" s="2572">
        <f>(K45+K46+K47)/2*K40</f>
        <v>0</v>
      </c>
    </row>
    <row r="49" spans="2:11" ht="15.95" hidden="1" customHeight="1">
      <c r="E49" s="2575" t="s">
        <v>5208</v>
      </c>
      <c r="F49" s="2576" t="s">
        <v>3254</v>
      </c>
      <c r="G49" s="2576" t="s">
        <v>3253</v>
      </c>
      <c r="H49" s="2576" t="s">
        <v>3251</v>
      </c>
      <c r="I49" s="2576" t="s">
        <v>3250</v>
      </c>
    </row>
    <row r="50" spans="2:11" ht="15.95" hidden="1" customHeight="1">
      <c r="B50" s="2213" t="s">
        <v>5209</v>
      </c>
      <c r="F50" s="2571">
        <f>IF(OR(Nachweis!M8=31,Nachweis!M8=32,Nachweis!M8=33),Nachweis!G9,0)</f>
        <v>0</v>
      </c>
      <c r="G50" s="2571">
        <f>IF(OR(Nachweis!M12=31,Nachweis!M12=32,Nachweis!M12=33),Nachweis!G13,0)</f>
        <v>0</v>
      </c>
      <c r="H50" s="2571">
        <f>IF(OR(Nachweis!M16=31,Nachweis!M16=32,Nachweis!M16=33),Nachweis!G17,0)</f>
        <v>0</v>
      </c>
      <c r="I50" s="2571">
        <f>IF(OR(Nachweis!M20=31,Nachweis!M20=32,Nachweis!M20=33),Nachweis!G21,0)</f>
        <v>0</v>
      </c>
    </row>
    <row r="51" spans="2:11" ht="15.95" hidden="1" customHeight="1">
      <c r="B51" s="2213" t="s">
        <v>5210</v>
      </c>
      <c r="F51" s="2571">
        <f>IF(OR(Nachweis!M8=32,Nachweis!M8=33),Nachweis!F10,IF(Nachweis!M8=31,Nachweis!G10,0))</f>
        <v>0</v>
      </c>
      <c r="G51" s="2571">
        <f>IF(OR(Nachweis!M12=32,Nachweis!M12=33),Nachweis!F14,IF(Nachweis!M12=31,Nachweis!G14,0))</f>
        <v>0</v>
      </c>
      <c r="H51" s="2571">
        <f>IF(OR(Nachweis!M16=32,Nachweis!M16=33),Nachweis!F18,IF(Nachweis!M16=31,Nachweis!G18,0))</f>
        <v>0</v>
      </c>
      <c r="I51" s="2571">
        <f>IF(OR(Nachweis!M20=32,Nachweis!M20=33),Nachweis!F22,IF(Nachweis!M20=31,Nachweis!G22,0))</f>
        <v>0</v>
      </c>
    </row>
    <row r="52" spans="2:11" ht="15.95" hidden="1" customHeight="1">
      <c r="B52" s="1236" t="s">
        <v>5211</v>
      </c>
      <c r="F52" s="2572">
        <f>F50*F51</f>
        <v>0</v>
      </c>
      <c r="G52" s="2572">
        <f t="shared" ref="G52:I52" si="0">G50*G51</f>
        <v>0</v>
      </c>
      <c r="H52" s="2572">
        <f t="shared" si="0"/>
        <v>0</v>
      </c>
      <c r="I52" s="2572">
        <f t="shared" si="0"/>
        <v>0</v>
      </c>
      <c r="K52" s="2572">
        <f>SUM(F52:I52)</f>
        <v>0</v>
      </c>
    </row>
    <row r="53" spans="2:11" ht="15.95" hidden="1" customHeight="1">
      <c r="B53" s="2213" t="s">
        <v>5212</v>
      </c>
      <c r="K53" s="2570">
        <f>Eingaben!F51</f>
        <v>0</v>
      </c>
    </row>
    <row r="54" spans="2:11" ht="15.95" hidden="1" customHeight="1">
      <c r="B54" s="2213" t="s">
        <v>5213</v>
      </c>
      <c r="K54" s="2570">
        <f>Eingaben!E53</f>
        <v>0</v>
      </c>
    </row>
    <row r="55" spans="2:11" ht="15.95" hidden="1" customHeight="1">
      <c r="B55" s="1236" t="s">
        <v>5214</v>
      </c>
      <c r="K55" s="2572">
        <f>K53*K54</f>
        <v>0</v>
      </c>
    </row>
    <row r="56" spans="2:11" ht="15.95" hidden="1" customHeight="1">
      <c r="B56" s="2213" t="s">
        <v>5215</v>
      </c>
      <c r="K56" s="2572">
        <f>K55+K52</f>
        <v>0</v>
      </c>
    </row>
    <row r="57" spans="2:11" ht="15.95" hidden="1" customHeight="1">
      <c r="B57" s="2213" t="s">
        <v>5216</v>
      </c>
      <c r="K57" s="2570" t="b">
        <f>IF(Solarpflicht,IF(K56&gt;=K48,TRUE,FALSE),TRUE)</f>
        <v>1</v>
      </c>
    </row>
    <row r="58" spans="2:11" ht="15.95" customHeight="1"/>
    <row r="59" spans="2:11" ht="15.95" customHeight="1"/>
  </sheetData>
  <sheetProtection password="C616" sheet="1" objects="1" scenarios="1"/>
  <mergeCells count="40">
    <mergeCell ref="B16:K16"/>
    <mergeCell ref="G2:K2"/>
    <mergeCell ref="E3:F3"/>
    <mergeCell ref="G3:K3"/>
    <mergeCell ref="G4:K4"/>
    <mergeCell ref="B10:K10"/>
    <mergeCell ref="B11:K11"/>
    <mergeCell ref="C20:K20"/>
    <mergeCell ref="F23:G23"/>
    <mergeCell ref="H23:I23"/>
    <mergeCell ref="F24:G24"/>
    <mergeCell ref="H24:I24"/>
    <mergeCell ref="J24:K24"/>
    <mergeCell ref="F31:G31"/>
    <mergeCell ref="J23:K23"/>
    <mergeCell ref="F25:G25"/>
    <mergeCell ref="H25:I25"/>
    <mergeCell ref="F27:G27"/>
    <mergeCell ref="H27:I27"/>
    <mergeCell ref="J25:K25"/>
    <mergeCell ref="J27:K27"/>
    <mergeCell ref="F26:G26"/>
    <mergeCell ref="H26:I26"/>
    <mergeCell ref="J26:K26"/>
    <mergeCell ref="M31:N31"/>
    <mergeCell ref="H31:I31"/>
    <mergeCell ref="J28:K28"/>
    <mergeCell ref="C19:F19"/>
    <mergeCell ref="J32:K32"/>
    <mergeCell ref="F28:G28"/>
    <mergeCell ref="J30:K30"/>
    <mergeCell ref="J31:K31"/>
    <mergeCell ref="F32:G32"/>
    <mergeCell ref="H32:I32"/>
    <mergeCell ref="H28:I28"/>
    <mergeCell ref="F29:G29"/>
    <mergeCell ref="J29:K29"/>
    <mergeCell ref="H29:I29"/>
    <mergeCell ref="F30:G30"/>
    <mergeCell ref="H30:I30"/>
  </mergeCells>
  <conditionalFormatting sqref="B10:B14">
    <cfRule type="expression" dxfId="60" priority="21">
      <formula>bern</formula>
    </cfRule>
  </conditionalFormatting>
  <conditionalFormatting sqref="B33:B37">
    <cfRule type="expression" dxfId="59" priority="15">
      <formula>bern</formula>
    </cfRule>
  </conditionalFormatting>
  <conditionalFormatting sqref="F25:I30 F31:G31">
    <cfRule type="expression" dxfId="58" priority="6">
      <formula>Solarpflicht=FALSE</formula>
    </cfRule>
  </conditionalFormatting>
  <conditionalFormatting sqref="F25:K30 F32:K32 J31:K31 F31:G31">
    <cfRule type="expression" dxfId="57" priority="5">
      <formula>OR(bern=FALSE,Solarpflicht=FALSE)</formula>
    </cfRule>
  </conditionalFormatting>
  <conditionalFormatting sqref="J24:K24">
    <cfRule type="expression" dxfId="56" priority="11">
      <formula>OR(bern=FALSE,Mischnutzung)</formula>
    </cfRule>
  </conditionalFormatting>
  <conditionalFormatting sqref="J32:K32">
    <cfRule type="expression" dxfId="55" priority="7">
      <formula>AND(bern,Solarpflicht=FALSE)</formula>
    </cfRule>
    <cfRule type="expression" dxfId="54" priority="9">
      <formula>$K$40=0</formula>
    </cfRule>
    <cfRule type="expression" dxfId="53" priority="16">
      <formula>AND(solar_erfüllt=FALSE,Solarpflicht)</formula>
    </cfRule>
  </conditionalFormatting>
  <conditionalFormatting sqref="M31:N31">
    <cfRule type="expression" dxfId="52" priority="4">
      <formula>Solarpflicht=FALSE</formula>
    </cfRule>
  </conditionalFormatting>
  <conditionalFormatting sqref="M31:N31">
    <cfRule type="expression" dxfId="51" priority="3">
      <formula>OR(bern=FALSE,Solarpflicht=FALSE)</formula>
    </cfRule>
  </conditionalFormatting>
  <conditionalFormatting sqref="H31:I31">
    <cfRule type="expression" dxfId="50" priority="2">
      <formula>Solarpflicht=FALSE</formula>
    </cfRule>
  </conditionalFormatting>
  <conditionalFormatting sqref="H31:I31">
    <cfRule type="expression" dxfId="49" priority="1">
      <formula>OR(bern=FALSE,Solarpflicht=FALSE)</formula>
    </cfRule>
  </conditionalFormatting>
  <pageMargins left="0.47244094488188981" right="0.39370078740157483" top="0.78740157480314965" bottom="0.47244094488188981" header="0.31496062992125984" footer="0.31496062992125984"/>
  <pageSetup paperSize="9" scale="88"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89"/>
  <sheetViews>
    <sheetView showZeros="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v2.97</v>
      </c>
      <c r="C1" s="3"/>
      <c r="D1" s="3"/>
      <c r="E1" s="340"/>
      <c r="F1" s="3"/>
      <c r="G1" s="3"/>
      <c r="H1" s="3"/>
      <c r="I1" s="158"/>
      <c r="J1" s="3"/>
      <c r="K1" s="2508" t="str">
        <f>Uebersetzung!D5</f>
        <v>Formular EN101b, v2.97, zu verwenden bis 31. Dezember 2026</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71" t="str">
        <f>Uebersetzung!D318</f>
        <v>Übersicht</v>
      </c>
      <c r="H2" s="2972"/>
      <c r="I2" s="2972"/>
      <c r="J2" s="2972"/>
      <c r="K2" s="2973"/>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3027" t="str">
        <f>Eingaben!E3</f>
        <v>EN-101b</v>
      </c>
      <c r="F3" s="3028"/>
      <c r="G3" s="2974" t="str">
        <f>IF(bern,Uebersetzung!D702,Uebersetzung!D376)</f>
        <v>Minergie-Nachweis</v>
      </c>
      <c r="H3" s="2975"/>
      <c r="I3" s="2975"/>
      <c r="J3" s="2975"/>
      <c r="K3" s="2976"/>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2878</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77" t="str">
        <f>Uebersetzung!D426</f>
        <v>Eingabefeld (Fakultativ)</v>
      </c>
      <c r="E18" s="2977"/>
      <c r="F18" s="2977"/>
      <c r="G18" s="11"/>
      <c r="H18" s="2978" t="str">
        <f>Uebersetzung!D427</f>
        <v>Auswahlfeld (Pflicht)</v>
      </c>
      <c r="I18" s="2978"/>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2863</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2485"/>
      <c r="M20" s="2486"/>
      <c r="N20" s="2487"/>
      <c r="O20" s="2487"/>
      <c r="P20" s="2487"/>
      <c r="Q20" s="2487"/>
      <c r="R20" s="2487"/>
      <c r="S20" s="2487"/>
      <c r="T20" s="2487"/>
      <c r="U20" s="2488"/>
      <c r="V20" s="2488"/>
      <c r="W20" s="804"/>
      <c r="X20" s="804"/>
    </row>
    <row r="21" spans="1:24" s="298" customFormat="1" ht="27.95" customHeight="1">
      <c r="A21" s="1517" t="s">
        <v>2864</v>
      </c>
      <c r="B21" s="777" t="str">
        <f>IF(MUKEN,Uebersetzung!D9,Uebersetzung!D356)</f>
        <v xml:space="preserve">Gemeinde:             </v>
      </c>
      <c r="C21" s="2981" t="str">
        <f>IF(Projekt1="","",Projekt1)</f>
        <v/>
      </c>
      <c r="D21" s="2981"/>
      <c r="E21" s="2981"/>
      <c r="F21" s="2981"/>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2865</v>
      </c>
      <c r="B22" s="778" t="str">
        <f>IF(MUKEN,Uebersetzung!D13,Uebersetzung!D359)</f>
        <v xml:space="preserve">Bauvorhaben:            </v>
      </c>
      <c r="C22" s="2979">
        <f>Eingaben!C8</f>
        <v>0</v>
      </c>
      <c r="D22" s="2979"/>
      <c r="E22" s="2979"/>
      <c r="F22" s="2979"/>
      <c r="G22" s="2979"/>
      <c r="H22" s="2979"/>
      <c r="I22" s="2979"/>
      <c r="J22" s="2979"/>
      <c r="K22" s="2980"/>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2866</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10" t="str">
        <f>Uebersetzung!D294</f>
        <v>Anforderung</v>
      </c>
      <c r="G29" s="2982"/>
      <c r="H29" s="2610" t="str">
        <f>Uebersetzung!D295</f>
        <v>Berechneter Wert</v>
      </c>
      <c r="I29" s="2982"/>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2867</v>
      </c>
      <c r="B30" s="2384" t="str">
        <f>Nachweis!B58</f>
        <v>Grenzwert</v>
      </c>
      <c r="C30" s="1213"/>
      <c r="D30" s="2385"/>
      <c r="E30" s="2386"/>
      <c r="F30" s="2983">
        <f>IF(bern,Nachweis!G58,MINERGIE!Z43)</f>
        <v>0</v>
      </c>
      <c r="G30" s="2984"/>
      <c r="H30" s="2983" t="b">
        <f>IF(bern,Nachweis!I58,IF(MUKEN=FALSE,Nachweis!I59))</f>
        <v>0</v>
      </c>
      <c r="I30" s="2984"/>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30" hidden="1" customHeight="1">
      <c r="A31" s="1518" t="s">
        <v>2868</v>
      </c>
      <c r="B31" s="2469" t="str">
        <f>Solar_BE!B32</f>
        <v xml:space="preserve">  Gesamtjahresertrag entspricht mindestens halbem Normbedarf?</v>
      </c>
      <c r="C31" s="2470"/>
      <c r="D31" s="2470"/>
      <c r="E31" s="2382"/>
      <c r="F31" s="3025">
        <f>Solar_BE!H28</f>
        <v>0</v>
      </c>
      <c r="G31" s="3026"/>
      <c r="H31" s="3025">
        <f>Solar_BE!F31</f>
        <v>0</v>
      </c>
      <c r="I31" s="3026"/>
      <c r="J31" s="17"/>
      <c r="K31" s="2582" t="str">
        <f>Solar_BE!J32</f>
        <v>Ja</v>
      </c>
      <c r="L31" s="2488"/>
      <c r="M31" s="2488"/>
      <c r="N31" s="2488"/>
      <c r="O31" s="2488"/>
      <c r="P31" s="2488"/>
      <c r="Q31" s="2488"/>
      <c r="R31" s="2488"/>
      <c r="S31" s="2488"/>
      <c r="T31" s="2488"/>
      <c r="U31" s="2488"/>
      <c r="V31" s="2488"/>
      <c r="W31" s="804"/>
      <c r="X31" s="804"/>
    </row>
    <row r="32" spans="1:24" s="5" customFormat="1" ht="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2869</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10" t="str">
        <f>Uebersetzung!D294</f>
        <v>Anforderung</v>
      </c>
      <c r="G36" s="2982"/>
      <c r="H36" s="2610" t="str">
        <f>Uebersetzung!D295</f>
        <v>Berechneter Wert</v>
      </c>
      <c r="I36" s="2982"/>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2870</v>
      </c>
      <c r="B37" s="1215" t="str">
        <f>Uebersetzung!D432</f>
        <v>ZA1: Heizwärmebedarf in kWh/m2</v>
      </c>
      <c r="C37" s="2475"/>
      <c r="D37" s="2475"/>
      <c r="E37" s="1500" t="s">
        <v>2604</v>
      </c>
      <c r="F37" s="2994">
        <f>MINERGIE!Z19</f>
        <v>0</v>
      </c>
      <c r="G37" s="2995"/>
      <c r="H37" s="2994">
        <f>MINERGIE!Z25</f>
        <v>0</v>
      </c>
      <c r="I37" s="2995"/>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2871</v>
      </c>
      <c r="B38" s="1217" t="str">
        <f>Uebersetzung!D433</f>
        <v>ZA2: Endenergie ohne PV in kWh/m2</v>
      </c>
      <c r="C38" s="2472"/>
      <c r="D38" s="2472"/>
      <c r="E38" s="2473"/>
      <c r="F38" s="2967">
        <f>IF(bern,,IF(Nachweis!L43="",0,Nachweis!L43))</f>
        <v>0</v>
      </c>
      <c r="G38" s="2968"/>
      <c r="H38" s="2967">
        <f>IF(bern,,IF(Nachweis!I58="",0,Nachweis!I58))</f>
        <v>0</v>
      </c>
      <c r="I38" s="2968"/>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2872</v>
      </c>
      <c r="B39" s="1212" t="str">
        <f>Uebersetzung!D434</f>
        <v>ZA3: Minergie-Grenzwert Beleuchtung in kWh/m2</v>
      </c>
      <c r="C39" s="8"/>
      <c r="D39" s="8"/>
      <c r="E39" s="785"/>
      <c r="F39" s="2996">
        <f>MINERGIE!K48</f>
        <v>0</v>
      </c>
      <c r="G39" s="2997"/>
      <c r="H39" s="2996">
        <f>MINERGIE!K49</f>
        <v>0</v>
      </c>
      <c r="I39" s="2997"/>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2873</v>
      </c>
      <c r="B40" s="2991" t="str">
        <f>MINERGIE!B119</f>
        <v>Minimale Grösse der Eigenstromerzeugung  [kWp]:</v>
      </c>
      <c r="C40" s="2766"/>
      <c r="D40" s="2766"/>
      <c r="E40" s="1373" t="s">
        <v>2201</v>
      </c>
      <c r="F40" s="2969">
        <f>IF(bern,,MINERGIE!E119)</f>
        <v>0</v>
      </c>
      <c r="G40" s="2970"/>
      <c r="H40" s="2969">
        <f>IF(bern,,MINERGIE!E117)</f>
        <v>0</v>
      </c>
      <c r="I40" s="2970"/>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2874</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2875</v>
      </c>
      <c r="B42" s="1100" t="str">
        <f>Uebersetzung!D464</f>
        <v>Höchstanteil fossiler Energie</v>
      </c>
      <c r="C42" s="1409"/>
      <c r="D42" s="1409"/>
      <c r="E42" s="1410" t="s">
        <v>2482</v>
      </c>
      <c r="F42" s="2989">
        <f>IF(AND(MINERGIE!AH37&gt;0,H42&gt;0),MINERGIE!AH25,)</f>
        <v>0</v>
      </c>
      <c r="G42" s="2990"/>
      <c r="H42" s="2989">
        <f>IF(MINERGIE!AH14&gt;0,MINERGIE!AH38,)</f>
        <v>0</v>
      </c>
      <c r="I42" s="2990"/>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2876</v>
      </c>
      <c r="B43" s="2992" t="str">
        <f>IF(minergiea,Uebersetzung!D465,"")</f>
        <v/>
      </c>
      <c r="C43" s="2993"/>
      <c r="D43" s="2993"/>
      <c r="E43" s="856" t="s">
        <v>2215</v>
      </c>
      <c r="F43" s="2985" t="str">
        <f>IF(minergiea,MINERGIE!G121,"")</f>
        <v/>
      </c>
      <c r="G43" s="2986"/>
      <c r="H43" s="2985" t="str">
        <f>IF(minergiea,MINERGIE!H121,"")</f>
        <v/>
      </c>
      <c r="I43" s="2986"/>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4743</v>
      </c>
      <c r="B45" s="2377" t="str">
        <f>IF(THG_Scope1,Uebersetzung!D693,Uebersetzung!D431)</f>
        <v>Treibhausgasemissionen im Betrieb in CO2 kg/m2 (Scope 1)</v>
      </c>
      <c r="C45" s="2376"/>
      <c r="D45" s="2376"/>
      <c r="E45" s="2376"/>
      <c r="F45" s="2961" t="str">
        <f>Uebersetzung!D462</f>
        <v>Keine Anforderungen</v>
      </c>
      <c r="G45" s="2962"/>
      <c r="H45" s="2961" t="str">
        <f>IF(Nachweis!AL45=0,"0",Nachweis!AL45)</f>
        <v>0</v>
      </c>
      <c r="I45" s="2962"/>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2877</v>
      </c>
      <c r="B46" s="2378" t="str">
        <f>Uebersetzung!D697&amp;"  "&amp;Uebersetzung!D696</f>
        <v>Treibhausgasemissionen in kg CO2/m2  (Erstellung)</v>
      </c>
      <c r="C46" s="2388"/>
      <c r="D46" s="2388"/>
      <c r="E46" s="2388"/>
      <c r="F46" s="2963" t="str">
        <f>Uebersetzung!D462</f>
        <v>Keine Anforderungen</v>
      </c>
      <c r="G46" s="2964"/>
      <c r="H46" s="2963">
        <f>Erstellung!H34</f>
        <v>0</v>
      </c>
      <c r="I46" s="2964"/>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4744</v>
      </c>
      <c r="B47" s="2379" t="str">
        <f>Uebersetzung!D698&amp;"  "&amp;Uebersetzung!D696</f>
        <v>Gespeicherter Kohlenstoff in kg/m2  (Erstellung)</v>
      </c>
      <c r="C47" s="2390"/>
      <c r="D47" s="2390"/>
      <c r="E47" s="2390"/>
      <c r="F47" s="2965" t="str">
        <f>Uebersetzung!D462</f>
        <v>Keine Anforderungen</v>
      </c>
      <c r="G47" s="2966"/>
      <c r="H47" s="2965">
        <f>Erstellung!H36</f>
        <v>0</v>
      </c>
      <c r="I47" s="2966"/>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4760</v>
      </c>
      <c r="B49" s="2506" t="str">
        <f>IF(bern,"   "&amp;Uebersetzung!D708&amp;Uebersetzung!D718,"    "&amp;Uebersetzung!D435)</f>
        <v xml:space="preserve">    Visualisierung Minergie-Kennzahl (MKZ)</v>
      </c>
      <c r="C49" s="2372"/>
      <c r="D49" s="1006"/>
      <c r="E49" s="1006"/>
      <c r="F49" s="1006"/>
      <c r="G49" s="1006"/>
      <c r="H49" s="1006"/>
      <c r="I49" s="1006"/>
      <c r="J49" s="1006"/>
      <c r="K49" s="2373" t="s">
        <v>2434</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87" t="str">
        <f>M72&amp;"    "</f>
        <v xml:space="preserve">                                          E HWLK,li  +
                             Standardbedarf Elektrizität
      </v>
      </c>
      <c r="C50" s="2988"/>
      <c r="D50" s="2988"/>
      <c r="E50" s="2988" t="str">
        <f>"             
 "&amp;M70</f>
        <v xml:space="preserve">             
            Objektwert
 </v>
      </c>
      <c r="F50" s="2988"/>
      <c r="G50" s="2988"/>
      <c r="H50" s="2918" t="str">
        <f>M68</f>
        <v>Stromproduktion</v>
      </c>
      <c r="I50" s="2918"/>
      <c r="J50" s="143"/>
      <c r="K50" s="1398" t="str">
        <f>IF(bern,Uebersetzung!D707,Uebersetzung!D479)&amp;" "&amp;Uebersetzung!D480</f>
        <v>MKZ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4761</v>
      </c>
      <c r="B51" s="2987"/>
      <c r="C51" s="2988"/>
      <c r="D51" s="2988"/>
      <c r="E51" s="2988"/>
      <c r="F51" s="2988"/>
      <c r="G51" s="2988"/>
      <c r="H51" s="2918"/>
      <c r="I51" s="2918"/>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1849</v>
      </c>
      <c r="Q51" s="2491">
        <f>MINERGIE!Z49</f>
        <v>0</v>
      </c>
      <c r="R51" s="2491">
        <f t="shared" si="0"/>
        <v>0</v>
      </c>
      <c r="S51" s="2487">
        <v>0</v>
      </c>
      <c r="T51" s="2487"/>
      <c r="U51" s="2488"/>
      <c r="V51" s="2488"/>
      <c r="W51" s="804"/>
      <c r="X51" s="804"/>
    </row>
    <row r="52" spans="1:24" s="5" customFormat="1" ht="21.95" customHeight="1">
      <c r="A52" s="1518"/>
      <c r="B52" s="2987"/>
      <c r="C52" s="2988"/>
      <c r="D52" s="2988"/>
      <c r="E52" s="2482"/>
      <c r="F52" s="2482"/>
      <c r="G52" s="2482"/>
      <c r="H52" s="2478"/>
      <c r="I52" s="2478"/>
      <c r="J52" s="143"/>
      <c r="K52" s="1398" t="str">
        <f>IF(bern,Uebersetzung!D707,Uebersetzung!D479)&amp;" "&amp;Uebersetzung!D481</f>
        <v>MKZ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4762</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2600</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4763</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4764</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4765</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4766</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5185</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4767</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4768</v>
      </c>
      <c r="B65" s="1264"/>
      <c r="C65" s="1267" t="b">
        <v>0</v>
      </c>
      <c r="D65" s="1095"/>
      <c r="E65" s="143"/>
      <c r="F65" s="143"/>
      <c r="G65" s="143"/>
      <c r="H65" s="143"/>
      <c r="I65" s="143"/>
      <c r="J65" s="143"/>
      <c r="K65" s="1399">
        <f>N58</f>
        <v>0</v>
      </c>
      <c r="L65" s="2488"/>
      <c r="M65" s="2487" t="str">
        <f>IF(bern,M57,Uebersicht!M65)</f>
        <v>MKZ berechneter Wert</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4741</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4769</v>
      </c>
      <c r="B68" s="209"/>
      <c r="C68" s="1269"/>
      <c r="D68" s="1270"/>
      <c r="E68" s="151"/>
      <c r="F68" s="151"/>
      <c r="G68" s="151"/>
      <c r="H68" s="151"/>
      <c r="I68" s="151"/>
      <c r="J68" s="151"/>
      <c r="K68" s="2504" t="str">
        <f>IF(bern,Uebersetzung!D707,Uebersetzung!D479)&amp;" = "&amp;ROUND(N57,1)</f>
        <v>MKZ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46034.719198842591</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2595</v>
      </c>
      <c r="R81" s="2502" t="s">
        <v>2596</v>
      </c>
      <c r="S81" s="2502" t="s">
        <v>2597</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2703</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A43:A44">
    <cfRule type="expression" dxfId="48" priority="9">
      <formula>minergiea=FALSE</formula>
    </cfRule>
  </conditionalFormatting>
  <conditionalFormatting sqref="A35:K47">
    <cfRule type="expression" dxfId="47" priority="6">
      <formula>bern</formula>
    </cfRule>
  </conditionalFormatting>
  <conditionalFormatting sqref="A46:K48">
    <cfRule type="expression" dxfId="46" priority="8">
      <formula>AlleZonenNeu=FALSE</formula>
    </cfRule>
  </conditionalFormatting>
  <conditionalFormatting sqref="B10:B14">
    <cfRule type="expression" dxfId="45" priority="5">
      <formula>bern</formula>
    </cfRule>
  </conditionalFormatting>
  <conditionalFormatting sqref="B43 E43:F43 H43 J43">
    <cfRule type="expression" dxfId="44" priority="29">
      <formula>minergiea=FALSE</formula>
    </cfRule>
  </conditionalFormatting>
  <conditionalFormatting sqref="B30:K30">
    <cfRule type="expression" dxfId="43" priority="1">
      <formula>bern=FALSE</formula>
    </cfRule>
  </conditionalFormatting>
  <conditionalFormatting sqref="B42:K42">
    <cfRule type="expression" dxfId="42" priority="27">
      <formula>minergiea=FALSE</formula>
    </cfRule>
    <cfRule type="expression" dxfId="41" priority="28">
      <formula>minergiea</formula>
    </cfRule>
  </conditionalFormatting>
  <conditionalFormatting sqref="B45:K45">
    <cfRule type="expression" dxfId="40" priority="7">
      <formula>AlleZonenNeu=FALSE</formula>
    </cfRule>
  </conditionalFormatting>
  <conditionalFormatting sqref="F31:I31">
    <cfRule type="expression" dxfId="39" priority="3">
      <formula>Solarpflicht=FALSE</formula>
    </cfRule>
  </conditionalFormatting>
  <conditionalFormatting sqref="F30:K31">
    <cfRule type="expression" dxfId="38" priority="30">
      <formula>MUKEN=TRUE</formula>
    </cfRule>
  </conditionalFormatting>
  <conditionalFormatting sqref="G69:H69">
    <cfRule type="expression" dxfId="37" priority="32" stopIfTrue="1">
      <formula>$B$69&lt;&gt;""</formula>
    </cfRule>
  </conditionalFormatting>
  <conditionalFormatting sqref="J69">
    <cfRule type="expression" dxfId="36" priority="31" stopIfTrue="1">
      <formula>minergiep=TRUE</formula>
    </cfRule>
  </conditionalFormatting>
  <conditionalFormatting sqref="K30">
    <cfRule type="expression" dxfId="35" priority="706">
      <formula>$L$75=2</formula>
    </cfRule>
    <cfRule type="expression" dxfId="34" priority="707">
      <formula>$L$75=1</formula>
    </cfRule>
  </conditionalFormatting>
  <conditionalFormatting sqref="K31">
    <cfRule type="expression" dxfId="33" priority="4">
      <formula>AND(solar_erfüllt=FALSE,Solarpflicht)</formula>
    </cfRule>
  </conditionalFormatting>
  <conditionalFormatting sqref="K37">
    <cfRule type="expression" dxfId="32" priority="708">
      <formula>$L$82=2</formula>
    </cfRule>
    <cfRule type="expression" dxfId="31" priority="709">
      <formula>$L$82=1</formula>
    </cfRule>
  </conditionalFormatting>
  <conditionalFormatting sqref="K38">
    <cfRule type="expression" dxfId="30" priority="710">
      <formula>$L$83=2</formula>
    </cfRule>
    <cfRule type="expression" dxfId="29" priority="711">
      <formula>$L$83=1</formula>
    </cfRule>
  </conditionalFormatting>
  <conditionalFormatting sqref="K39">
    <cfRule type="expression" dxfId="28" priority="714">
      <formula>$L$84=2</formula>
    </cfRule>
    <cfRule type="expression" dxfId="27" priority="715">
      <formula>$L$84=1</formula>
    </cfRule>
  </conditionalFormatting>
  <conditionalFormatting sqref="K40">
    <cfRule type="expression" dxfId="26" priority="712">
      <formula>$L$85=2</formula>
    </cfRule>
    <cfRule type="expression" dxfId="25" priority="713">
      <formula>$L$85=1</formula>
    </cfRule>
  </conditionalFormatting>
  <conditionalFormatting sqref="K41">
    <cfRule type="expression" dxfId="24" priority="716">
      <formula>$L$86=2</formula>
    </cfRule>
    <cfRule type="expression" dxfId="23" priority="717">
      <formula>$L$86=1</formula>
    </cfRule>
  </conditionalFormatting>
  <conditionalFormatting sqref="K42">
    <cfRule type="expression" dxfId="22" priority="718">
      <formula>$L$87=2</formula>
    </cfRule>
    <cfRule type="expression" dxfId="21" priority="719">
      <formula>$L$87=1</formula>
    </cfRule>
  </conditionalFormatting>
  <conditionalFormatting sqref="K43">
    <cfRule type="expression" dxfId="20" priority="720">
      <formula>minergiea=FALSE</formula>
    </cfRule>
    <cfRule type="expression" dxfId="19" priority="721">
      <formula>$L$88=2</formula>
    </cfRule>
    <cfRule type="expression" dxfId="18" priority="722">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806D01-86DF-4ACA-B204-99F3509BA299}">
            <xm:f>OR(bern=FALSE,Solarpflicht=FALSE,Solar_BE!$K$40=0)</xm:f>
            <x14:dxf>
              <font>
                <color theme="0"/>
              </font>
              <fill>
                <patternFill>
                  <bgColor theme="0"/>
                </patternFill>
              </fill>
              <border>
                <left/>
                <right/>
                <bottom/>
                <vertical/>
                <horizontal/>
              </border>
            </x14:dxf>
          </x14:cfRule>
          <xm:sqref>B31:K31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EN101b, v2.97, zu verwenden bis 31. Dezember 2026</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2519</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Hallenbad</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3060"/>
      <c r="AW21" s="3060"/>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3049" t="s">
        <v>3619</v>
      </c>
      <c r="V23" s="3050"/>
      <c r="W23" s="3050"/>
      <c r="X23" s="3051"/>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3064" t="s">
        <v>180</v>
      </c>
      <c r="BJ28" s="3065"/>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3052" t="s">
        <v>162</v>
      </c>
      <c r="AH33" s="3053"/>
      <c r="AI33" s="3052" t="s">
        <v>163</v>
      </c>
      <c r="AJ33" s="3053"/>
      <c r="AK33" s="3052" t="s">
        <v>164</v>
      </c>
      <c r="AL33" s="3053"/>
      <c r="AM33" s="3052" t="s">
        <v>165</v>
      </c>
      <c r="AN33" s="3053"/>
      <c r="BB33" s="517">
        <f>IF(Eingaben!I13="",1,VLOOKUP(Eingaben!I13,Standardwerte!BC4:BE32,3,FALSE))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1889</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3050" t="s">
        <v>816</v>
      </c>
      <c r="AB34" s="3050"/>
      <c r="AC34" s="3051"/>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93" t="b">
        <f>AND(Kategorie1&lt;=5,EBFo1&lt;=INDEX($U$9:$U$21,Kategorie1,1))</f>
        <v>1</v>
      </c>
      <c r="AH35" s="2794"/>
      <c r="AI35" s="2793" t="b">
        <f>AND(Kategorie2&lt;=5,EBFo2&lt;=INDEX($U$9:$U$21,Kategorie2,1))</f>
        <v>1</v>
      </c>
      <c r="AJ35" s="2794"/>
      <c r="AK35" s="2793" t="b">
        <f>AND(Kategorie3&lt;=5,EBFo3&lt;=INDEX($U$9:$U$21,Kategorie3,1))</f>
        <v>1</v>
      </c>
      <c r="AL35" s="2794"/>
      <c r="AM35" s="2793" t="b">
        <f>AND(Kategorie4&lt;=5,EBFo4&lt;=INDEX($U$9:$U$21,Kategorie4,1))</f>
        <v>1</v>
      </c>
      <c r="AN35" s="2794"/>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93" t="b">
        <f>Kategorie1&gt;1</f>
        <v>0</v>
      </c>
      <c r="AH36" s="2794"/>
      <c r="AI36" s="2793" t="b">
        <f>Kategorie2&gt;1</f>
        <v>0</v>
      </c>
      <c r="AJ36" s="2794"/>
      <c r="AK36" s="2793" t="b">
        <f>Kategorie3&gt;1</f>
        <v>0</v>
      </c>
      <c r="AL36" s="2794"/>
      <c r="AM36" s="2793" t="b">
        <f>Kategorie4&gt;1</f>
        <v>0</v>
      </c>
      <c r="AN36" s="2794"/>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93" t="b">
        <f>Kategorie1&lt;=5</f>
        <v>1</v>
      </c>
      <c r="AH37" s="2794"/>
      <c r="AI37" s="2793" t="b">
        <f>Kategorie2&lt;=5</f>
        <v>1</v>
      </c>
      <c r="AJ37" s="2794"/>
      <c r="AK37" s="2793" t="b">
        <f>Kategorie3&lt;=5</f>
        <v>1</v>
      </c>
      <c r="AL37" s="2794"/>
      <c r="AM37" s="2793" t="b">
        <f>Kategorie4&lt;=5</f>
        <v>1</v>
      </c>
      <c r="AN37" s="2794"/>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3061" t="b">
        <f>AND(AG36,AG35)</f>
        <v>0</v>
      </c>
      <c r="AH38" s="3062"/>
      <c r="AI38" s="2793" t="b">
        <f>AND(AI36,AI35,Zonen&gt;1)</f>
        <v>0</v>
      </c>
      <c r="AJ38" s="2794"/>
      <c r="AK38" s="2793" t="b">
        <f>AND(AK36,AK35,Zonen&gt;2)</f>
        <v>0</v>
      </c>
      <c r="AL38" s="2794"/>
      <c r="AM38" s="2793" t="b">
        <f>AND(AM36,AM35,Zonen&gt;3)</f>
        <v>0</v>
      </c>
      <c r="AN38" s="2794"/>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1890</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3058" t="s">
        <v>1692</v>
      </c>
      <c r="BR40" s="3059"/>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1693</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3063"/>
      <c r="AH42" s="3063"/>
      <c r="AI42" s="3054"/>
      <c r="AJ42" s="3055"/>
      <c r="AK42" s="3054"/>
      <c r="AL42" s="3055"/>
      <c r="AM42" s="3054"/>
      <c r="AN42" s="3055"/>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3063"/>
      <c r="AH43" s="3063"/>
      <c r="AI43" s="3054"/>
      <c r="AJ43" s="3055"/>
      <c r="AK43" s="3054"/>
      <c r="AL43" s="3055"/>
      <c r="AM43" s="3054"/>
      <c r="AN43" s="3055"/>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3614</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3063"/>
      <c r="AH44" s="3063"/>
      <c r="AI44" s="3054"/>
      <c r="AJ44" s="3055"/>
      <c r="AK44" s="3054"/>
      <c r="AL44" s="3055"/>
      <c r="AM44" s="3054"/>
      <c r="AN44" s="3055"/>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3556</v>
      </c>
      <c r="J45" s="1769">
        <f>IF(_SIA2009,8.5,9.4)</f>
        <v>9.4</v>
      </c>
      <c r="K45" s="27">
        <v>11</v>
      </c>
      <c r="L45" s="560" t="s">
        <v>3615</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3061"/>
      <c r="AH45" s="3062"/>
      <c r="AI45" s="3056"/>
      <c r="AJ45" s="3057"/>
      <c r="AK45" s="3056"/>
      <c r="AL45" s="3057"/>
      <c r="AM45" s="3056"/>
      <c r="AN45" s="3057"/>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793" t="b">
        <f>AND(IF(Kategorie1=13,FALSE,AND(OR(Standardlüftung1=2,NOT(Standardwerte!AG37)),Standardwerte!AG38)),NOT(AG50))</f>
        <v>0</v>
      </c>
      <c r="AH49" s="2794"/>
      <c r="AI49" s="2793" t="b">
        <f>AND(IF(Kategorie2=13,FALSE,AND(OR(Standardlüftung2=2,NOT(Standardwerte!AI37)),Standardwerte!AI38)),NOT(AI50))</f>
        <v>0</v>
      </c>
      <c r="AJ49" s="2794"/>
      <c r="AK49" s="2793" t="b">
        <f>AND(IF(Kategorie3=13,FALSE,AND(OR(Standardlüftung3=2,NOT(Standardwerte!AK37)),Standardwerte!AK38)),NOT(AK50))</f>
        <v>0</v>
      </c>
      <c r="AL49" s="2794"/>
      <c r="AM49" s="2793" t="b">
        <f>AND(IF(Kategorie4=13,FALSE,AND(OR(Standardlüftung4=2,NOT(Standardwerte!AM37)),Standardwerte!AM38)),NOT(AM50))</f>
        <v>0</v>
      </c>
      <c r="AN49" s="2794"/>
      <c r="AO49" s="2793" t="b">
        <f>OR(AG49:AM49)</f>
        <v>0</v>
      </c>
      <c r="AP49" s="3063"/>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3061" t="b">
        <f>OR(AND(J118&gt;1,J118&lt;5),IF(Kategorie1=13,FALSE,NOT(Standardwerte!AG35)))</f>
        <v>0</v>
      </c>
      <c r="AH50" s="3062"/>
      <c r="AI50" s="3061" t="b">
        <f>OR(AND(K118&gt;1,K118&lt;5),IF(Kategorie2=13,FALSE,NOT(Standardwerte!AI35)))</f>
        <v>0</v>
      </c>
      <c r="AJ50" s="3062"/>
      <c r="AK50" s="3061" t="b">
        <f>OR(AND(L118&gt;1,L118&lt;5),IF(Kategorie3=13,FALSE,NOT(Standardwerte!AK35)))</f>
        <v>0</v>
      </c>
      <c r="AL50" s="3062"/>
      <c r="AM50" s="3061" t="b">
        <f>OR(AND(M118&gt;1,M118&lt;5),IF(Kategorie4=13,FALSE,NOT(Standardwerte!AM35)))</f>
        <v>0</v>
      </c>
      <c r="AN50" s="3062"/>
      <c r="AO50" s="2793" t="b">
        <f>AND(OR(AG50:AM50))</f>
        <v>0</v>
      </c>
      <c r="AP50" s="3066"/>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3557</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behördlicher Nachweis</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3069" t="s">
        <v>470</v>
      </c>
      <c r="V54" s="3070"/>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3761</v>
      </c>
      <c r="J59" s="489"/>
      <c r="K59" s="27">
        <v>5</v>
      </c>
      <c r="L59" s="108" t="str">
        <f>N59</f>
        <v>Enthalpie-WT</v>
      </c>
      <c r="M59" s="136"/>
      <c r="N59" s="136" t="str">
        <f>Uebersetzung!D571</f>
        <v>Enthalpie-WT</v>
      </c>
      <c r="O59" s="84">
        <v>6</v>
      </c>
      <c r="P59" s="332"/>
      <c r="Q59" s="450">
        <v>0.6</v>
      </c>
      <c r="S59" s="1849" t="s">
        <v>3801</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3288</v>
      </c>
      <c r="J60" s="427">
        <f>IF(_SIA2009,1.25,1.5)</f>
        <v>1.5</v>
      </c>
      <c r="K60" s="27">
        <v>6</v>
      </c>
      <c r="L60" s="94"/>
      <c r="M60" s="60"/>
      <c r="N60" s="60"/>
      <c r="O60" s="1812">
        <v>7</v>
      </c>
      <c r="P60" s="60"/>
      <c r="Q60" s="116"/>
      <c r="R60" s="1848" t="s">
        <v>132</v>
      </c>
      <c r="S60" s="316" t="s">
        <v>3802</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2026</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1</v>
      </c>
      <c r="AK63" s="968">
        <f>IF(AJ63=8,8,IF(AJ63&lt;5,AJ63,AJ63-3))</f>
        <v>1</v>
      </c>
      <c r="AL63" s="1594" t="s">
        <v>5026</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3554</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3049" t="s">
        <v>3111</v>
      </c>
      <c r="Y65" s="3050"/>
      <c r="Z65" s="3050"/>
      <c r="AA65" s="3050"/>
      <c r="AB65" s="3050"/>
      <c r="AC65" s="3050"/>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3029" t="s">
        <v>3618</v>
      </c>
      <c r="Q66" s="3030"/>
      <c r="R66" s="3030"/>
      <c r="S66" s="3031"/>
      <c r="T66" s="42">
        <v>4</v>
      </c>
      <c r="U66" s="264" t="str">
        <f>INDEX($V$108:$V$155,_typ4,1)</f>
        <v xml:space="preserve">  </v>
      </c>
      <c r="V66" s="265" t="str">
        <f>INDEX($W$108:$W$155,_typ4,1)</f>
        <v xml:space="preserve">  </v>
      </c>
      <c r="W66" s="111"/>
      <c r="X66" s="3049" t="s">
        <v>546</v>
      </c>
      <c r="Y66" s="3051"/>
      <c r="Z66" s="3049" t="s">
        <v>663</v>
      </c>
      <c r="AA66" s="3051"/>
      <c r="AB66" s="3049" t="s">
        <v>499</v>
      </c>
      <c r="AC66" s="3050"/>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1693</v>
      </c>
      <c r="Z67" s="1625" t="s">
        <v>650</v>
      </c>
      <c r="AA67" s="1626" t="s">
        <v>1693</v>
      </c>
      <c r="AB67" s="1625" t="s">
        <v>650</v>
      </c>
      <c r="AC67" s="1626" t="s">
        <v>1693</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1792</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3436</v>
      </c>
      <c r="AI68" s="737" t="s">
        <v>546</v>
      </c>
      <c r="AJ68" s="737" t="s">
        <v>3555</v>
      </c>
      <c r="AL68" s="3074" t="s">
        <v>3558</v>
      </c>
      <c r="AM68" s="3074"/>
      <c r="AN68" s="738" t="s">
        <v>3931</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1791</v>
      </c>
      <c r="X69" s="1185" t="s">
        <v>546</v>
      </c>
      <c r="Y69" s="1187"/>
      <c r="Z69" s="1185" t="s">
        <v>663</v>
      </c>
      <c r="AA69" s="1187"/>
      <c r="AB69" s="1195"/>
      <c r="AC69" s="1186" t="s">
        <v>735</v>
      </c>
      <c r="AD69" s="3071" t="s">
        <v>2445</v>
      </c>
      <c r="AE69" s="3072"/>
      <c r="AF69" s="3073"/>
      <c r="AG69" s="1254" t="s">
        <v>80</v>
      </c>
      <c r="AH69" s="1255" t="s">
        <v>1888</v>
      </c>
      <c r="AI69" s="733" t="s">
        <v>499</v>
      </c>
      <c r="AJ69" s="1767" t="s">
        <v>80</v>
      </c>
      <c r="AK69" s="1768" t="s">
        <v>1888</v>
      </c>
      <c r="AL69" s="1767" t="s">
        <v>80</v>
      </c>
      <c r="AM69" s="1768" t="s">
        <v>1888</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1781</v>
      </c>
      <c r="X70" s="1180" t="s">
        <v>650</v>
      </c>
      <c r="Y70" s="1181" t="s">
        <v>1693</v>
      </c>
      <c r="Z70" s="1180" t="s">
        <v>650</v>
      </c>
      <c r="AA70" s="1181" t="s">
        <v>1693</v>
      </c>
      <c r="AB70" s="734" t="s">
        <v>632</v>
      </c>
      <c r="AC70" s="1182" t="s">
        <v>493</v>
      </c>
      <c r="AD70" s="1181" t="s">
        <v>696</v>
      </c>
      <c r="AE70" s="1180" t="s">
        <v>1849</v>
      </c>
      <c r="AF70" s="1204" t="s">
        <v>1852</v>
      </c>
      <c r="AG70" s="1204" t="s">
        <v>524</v>
      </c>
      <c r="AH70" s="1205" t="s">
        <v>524</v>
      </c>
      <c r="AI70" s="734" t="s">
        <v>2212</v>
      </c>
      <c r="AJ70" s="1758" t="s">
        <v>524</v>
      </c>
      <c r="AK70" s="1759" t="s">
        <v>524</v>
      </c>
      <c r="AL70" s="1772" t="s">
        <v>524</v>
      </c>
      <c r="AM70" s="1773" t="s">
        <v>524</v>
      </c>
      <c r="AN70" s="1874" t="s">
        <v>3931</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1782</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1783</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1784</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1785</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1786</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1787</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1788</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1789</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1790</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3047" t="s">
        <v>13</v>
      </c>
      <c r="P83" s="3048"/>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3288</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3523</v>
      </c>
      <c r="AB87" s="1245"/>
      <c r="AC87" s="1246"/>
      <c r="AF87" s="1244" t="s">
        <v>3011</v>
      </c>
      <c r="AG87" s="1244" t="s">
        <v>3022</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3023</v>
      </c>
      <c r="AG88" s="1594" t="s">
        <v>3014</v>
      </c>
      <c r="AH88" s="1594" t="s">
        <v>3015</v>
      </c>
      <c r="AI88" s="1593" t="s">
        <v>3016</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1693</v>
      </c>
      <c r="AF89" s="1590" t="s">
        <v>3012</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
      </c>
      <c r="AB93" s="1252" t="str">
        <f>IF(MUKEN,"",IF(minergiea,AB92,IF(minergiep,AB91,AB90)))</f>
        <v/>
      </c>
      <c r="AC93" s="1252" t="str">
        <f>IF(MUKEN,"",IF(minergiea,AC92,IF(minergiep,AC91,AC90)))</f>
        <v/>
      </c>
      <c r="AF93" s="1590" t="s">
        <v>3013</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3524</v>
      </c>
      <c r="AB94" s="3067">
        <v>0.9</v>
      </c>
      <c r="AC94" s="3068"/>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2208</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Hallenbad</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2182</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2183</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2092</v>
      </c>
      <c r="AO106" s="1352"/>
      <c r="AP106" s="1350" t="s">
        <v>2179</v>
      </c>
      <c r="AQ106" s="1346"/>
      <c r="AR106" s="1352"/>
      <c r="AS106" s="1350" t="s">
        <v>2481</v>
      </c>
      <c r="AT106" s="1346"/>
      <c r="AU106" s="461" t="s">
        <v>3088</v>
      </c>
      <c r="AV106" s="2336" t="s">
        <v>4720</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3574</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2180</v>
      </c>
      <c r="AQ107" s="1347"/>
      <c r="AR107" s="1353"/>
      <c r="AS107" s="1351" t="s">
        <v>2482</v>
      </c>
      <c r="AT107" s="1347"/>
      <c r="AU107" s="465" t="s">
        <v>3002</v>
      </c>
      <c r="AV107" s="2327" t="s">
        <v>4721</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3945</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3946</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MUKEN</v>
      </c>
      <c r="J122" s="707" t="s">
        <v>241</v>
      </c>
      <c r="K122" s="995" t="s">
        <v>651</v>
      </c>
      <c r="L122" s="977" t="s">
        <v>650</v>
      </c>
      <c r="M122" s="733"/>
      <c r="N122" s="3044" t="s">
        <v>786</v>
      </c>
      <c r="O122" s="3045"/>
      <c r="P122" s="3045"/>
      <c r="Q122" s="3046"/>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2014</v>
      </c>
      <c r="J123" s="708"/>
      <c r="K123" s="741" t="s">
        <v>1697</v>
      </c>
      <c r="L123" s="740" t="s">
        <v>1697</v>
      </c>
      <c r="M123" s="734" t="s">
        <v>784</v>
      </c>
      <c r="N123" s="739" t="s">
        <v>555</v>
      </c>
      <c r="O123" s="741" t="s">
        <v>556</v>
      </c>
      <c r="P123" s="740" t="s">
        <v>234</v>
      </c>
      <c r="Q123" s="740" t="s">
        <v>235</v>
      </c>
      <c r="R123" s="734" t="s">
        <v>1694</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1698</v>
      </c>
      <c r="L124" s="994" t="s">
        <v>1698</v>
      </c>
      <c r="M124" s="735" t="s">
        <v>783</v>
      </c>
      <c r="N124" s="747" t="e">
        <f>IF(J103,INDEX($L$9:$L$21,Kategorie1,1),0)</f>
        <v>#VALUE!</v>
      </c>
      <c r="O124" s="747" t="e">
        <f>IF(K103,INDEX($L$9:$L$21,Kategorie2,1),0)</f>
        <v>#VALUE!</v>
      </c>
      <c r="P124" s="747" t="e">
        <f>IF(L103,INDEX($L$9:$L$21,Kategorie3,1),0)</f>
        <v>#VALUE!</v>
      </c>
      <c r="Q124" s="747" t="e">
        <f>IF(M103,INDEX($L$9:$L$21,Kategorie4,1),0)</f>
        <v>#VALUE!</v>
      </c>
      <c r="R124" s="735" t="s">
        <v>1695</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1699</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1696</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5040</v>
      </c>
      <c r="J140" s="2290" t="s">
        <v>5043</v>
      </c>
      <c r="K140" s="2460" t="s">
        <v>5044</v>
      </c>
      <c r="L140" s="2460" t="s">
        <v>5041</v>
      </c>
      <c r="M140" s="2460" t="s">
        <v>5042</v>
      </c>
      <c r="N140" s="739" t="s">
        <v>555</v>
      </c>
      <c r="O140" s="741" t="s">
        <v>556</v>
      </c>
      <c r="P140" s="740" t="s">
        <v>234</v>
      </c>
      <c r="Q140" s="740" t="s">
        <v>235</v>
      </c>
      <c r="R140" s="2462" t="s">
        <v>5045</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1698</v>
      </c>
      <c r="L141" s="994" t="s">
        <v>1698</v>
      </c>
      <c r="M141" s="994" t="s">
        <v>1698</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3803</v>
      </c>
      <c r="D199" s="135" t="s">
        <v>3798</v>
      </c>
      <c r="I199" s="1680"/>
      <c r="J199" s="820"/>
      <c r="K199" s="3035" t="s">
        <v>3255</v>
      </c>
      <c r="L199" s="3038" t="s">
        <v>3256</v>
      </c>
      <c r="M199" s="3041" t="s">
        <v>3257</v>
      </c>
      <c r="N199" s="1840" t="s">
        <v>3258</v>
      </c>
    </row>
    <row r="200" spans="1:14">
      <c r="A200" s="1680" t="str">
        <f>A54</f>
        <v xml:space="preserve"> </v>
      </c>
      <c r="B200" s="1682"/>
      <c r="C200" s="1682" t="b">
        <v>1</v>
      </c>
      <c r="D200" s="120" t="b">
        <v>0</v>
      </c>
      <c r="I200" s="43"/>
      <c r="J200" s="3042" t="s">
        <v>3259</v>
      </c>
      <c r="K200" s="3036"/>
      <c r="L200" s="3039"/>
      <c r="M200" s="3039"/>
      <c r="N200" s="1841"/>
    </row>
    <row r="201" spans="1:14">
      <c r="A201" s="43" t="str">
        <f>A55</f>
        <v>Adelboden</v>
      </c>
      <c r="B201" s="808" t="s">
        <v>3250</v>
      </c>
      <c r="C201" s="45" t="b">
        <v>1</v>
      </c>
      <c r="D201" s="120" t="b">
        <v>0</v>
      </c>
      <c r="I201" s="43"/>
      <c r="J201" s="3042"/>
      <c r="K201" s="3036"/>
      <c r="L201" s="3039"/>
      <c r="M201" s="3039"/>
      <c r="N201" s="1841"/>
    </row>
    <row r="202" spans="1:14">
      <c r="A202" s="43" t="str">
        <f t="shared" ref="A202:A239" si="157">A56</f>
        <v>Aigle</v>
      </c>
      <c r="B202" s="808" t="s">
        <v>3251</v>
      </c>
      <c r="C202" s="120" t="b">
        <v>0</v>
      </c>
      <c r="D202" s="120" t="b">
        <v>0</v>
      </c>
      <c r="I202" s="43"/>
      <c r="J202" s="3042"/>
      <c r="K202" s="3036"/>
      <c r="L202" s="3039"/>
      <c r="M202" s="3039"/>
      <c r="N202" s="1841"/>
    </row>
    <row r="203" spans="1:14">
      <c r="A203" s="43" t="str">
        <f t="shared" si="157"/>
        <v>Altdorf</v>
      </c>
      <c r="B203" s="808" t="s">
        <v>3251</v>
      </c>
      <c r="C203" s="45" t="b">
        <v>1</v>
      </c>
      <c r="D203" s="120" t="b">
        <v>0</v>
      </c>
      <c r="I203" s="94"/>
      <c r="J203" s="3043"/>
      <c r="K203" s="3037"/>
      <c r="L203" s="3040"/>
      <c r="M203" s="3040"/>
      <c r="N203" s="1842"/>
    </row>
    <row r="204" spans="1:14" ht="12.75" customHeight="1">
      <c r="A204" s="43" t="str">
        <f t="shared" si="157"/>
        <v>Basel-Binningen</v>
      </c>
      <c r="B204" s="808" t="s">
        <v>3251</v>
      </c>
      <c r="C204" s="120" t="b">
        <v>0</v>
      </c>
      <c r="D204" s="120" t="b">
        <v>0</v>
      </c>
      <c r="I204" s="3032" t="s">
        <v>3260</v>
      </c>
      <c r="J204" s="820" t="str">
        <f>""</f>
        <v/>
      </c>
      <c r="K204" s="1680" t="str">
        <f>""</f>
        <v/>
      </c>
      <c r="L204" s="820" t="str">
        <f>""</f>
        <v/>
      </c>
      <c r="M204" s="820" t="str">
        <f>""</f>
        <v/>
      </c>
      <c r="N204" s="1681" t="str">
        <f>""</f>
        <v/>
      </c>
    </row>
    <row r="205" spans="1:14">
      <c r="A205" s="43" t="str">
        <f t="shared" si="157"/>
        <v>Bern  Liebefeld</v>
      </c>
      <c r="B205" s="808" t="s">
        <v>3251</v>
      </c>
      <c r="C205" s="120" t="b">
        <v>0</v>
      </c>
      <c r="D205" s="120" t="b">
        <v>0</v>
      </c>
      <c r="I205" s="3033"/>
      <c r="J205" s="1641" t="s">
        <v>3254</v>
      </c>
      <c r="K205" s="1678">
        <v>0.17</v>
      </c>
      <c r="L205" s="84">
        <v>0.11</v>
      </c>
      <c r="M205" s="84">
        <v>0.22</v>
      </c>
      <c r="N205" s="1843">
        <v>0.13</v>
      </c>
    </row>
    <row r="206" spans="1:14">
      <c r="A206" s="43" t="str">
        <f t="shared" si="157"/>
        <v>Buchs Aarau</v>
      </c>
      <c r="B206" s="808" t="s">
        <v>3251</v>
      </c>
      <c r="C206" s="120" t="b">
        <v>0</v>
      </c>
      <c r="D206" s="120" t="b">
        <v>0</v>
      </c>
      <c r="I206" s="3033"/>
      <c r="J206" s="1641" t="s">
        <v>3253</v>
      </c>
      <c r="K206" s="1678">
        <v>0.19</v>
      </c>
      <c r="L206" s="84">
        <v>0.14000000000000001</v>
      </c>
      <c r="M206" s="84">
        <v>0.24</v>
      </c>
      <c r="N206" s="1843">
        <v>0.17</v>
      </c>
    </row>
    <row r="207" spans="1:14">
      <c r="A207" s="43" t="str">
        <f t="shared" si="157"/>
        <v>Chur</v>
      </c>
      <c r="B207" s="808" t="s">
        <v>3251</v>
      </c>
      <c r="C207" s="45" t="b">
        <v>1</v>
      </c>
      <c r="D207" s="120" t="b">
        <v>0</v>
      </c>
      <c r="I207" s="3033"/>
      <c r="J207" s="1641" t="s">
        <v>3251</v>
      </c>
      <c r="K207" s="1678">
        <v>0.24</v>
      </c>
      <c r="L207" s="84">
        <v>0.18</v>
      </c>
      <c r="M207" s="84">
        <v>0.3</v>
      </c>
      <c r="N207" s="1843">
        <v>0.23</v>
      </c>
    </row>
    <row r="208" spans="1:14">
      <c r="A208" s="43" t="str">
        <f t="shared" si="157"/>
        <v>Davos</v>
      </c>
      <c r="B208" s="808" t="s">
        <v>3252</v>
      </c>
      <c r="C208" s="45" t="b">
        <v>1</v>
      </c>
      <c r="D208" s="120" t="b">
        <v>0</v>
      </c>
      <c r="I208" s="3033"/>
      <c r="J208" s="1641" t="s">
        <v>3250</v>
      </c>
      <c r="K208" s="1678">
        <v>0.36</v>
      </c>
      <c r="L208" s="84">
        <v>0.3</v>
      </c>
      <c r="M208" s="84">
        <v>0.44</v>
      </c>
      <c r="N208" s="1843">
        <v>0.4</v>
      </c>
    </row>
    <row r="209" spans="1:14" ht="12.75" customHeight="1">
      <c r="A209" s="43" t="str">
        <f t="shared" si="157"/>
        <v>Disentis</v>
      </c>
      <c r="B209" s="808" t="s">
        <v>3250</v>
      </c>
      <c r="C209" s="45" t="b">
        <v>1</v>
      </c>
      <c r="D209" s="120" t="b">
        <v>0</v>
      </c>
      <c r="I209" s="3034"/>
      <c r="J209" s="1157" t="s">
        <v>3252</v>
      </c>
      <c r="K209" s="1678">
        <v>0.4</v>
      </c>
      <c r="L209" s="84">
        <v>0.34</v>
      </c>
      <c r="M209" s="84">
        <v>0.46</v>
      </c>
      <c r="N209" s="1843">
        <v>0.44</v>
      </c>
    </row>
    <row r="210" spans="1:14">
      <c r="A210" s="43" t="str">
        <f t="shared" si="157"/>
        <v>Engelberg</v>
      </c>
      <c r="B210" s="808" t="s">
        <v>3250</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3253</v>
      </c>
      <c r="C211" s="120" t="b">
        <v>0</v>
      </c>
      <c r="D211" s="120" t="b">
        <v>0</v>
      </c>
    </row>
    <row r="212" spans="1:14">
      <c r="A212" s="43" t="str">
        <f t="shared" si="157"/>
        <v>Glarus</v>
      </c>
      <c r="B212" s="808" t="s">
        <v>3251</v>
      </c>
      <c r="C212" s="45" t="b">
        <v>1</v>
      </c>
      <c r="D212" s="120" t="b">
        <v>0</v>
      </c>
    </row>
    <row r="213" spans="1:14">
      <c r="A213" s="43" t="str">
        <f t="shared" si="157"/>
        <v>Gr. St. Bernhard</v>
      </c>
      <c r="B213" s="808" t="s">
        <v>3252</v>
      </c>
      <c r="C213" s="45" t="b">
        <v>1</v>
      </c>
      <c r="D213" s="120" t="b">
        <v>0</v>
      </c>
    </row>
    <row r="214" spans="1:14">
      <c r="A214" s="43" t="str">
        <f t="shared" si="157"/>
        <v>Güttingen</v>
      </c>
      <c r="B214" s="808" t="s">
        <v>3251</v>
      </c>
      <c r="C214" s="120" t="b">
        <v>0</v>
      </c>
      <c r="D214" s="120" t="b">
        <v>0</v>
      </c>
    </row>
    <row r="215" spans="1:14">
      <c r="A215" s="43" t="str">
        <f t="shared" si="157"/>
        <v>Interlaken</v>
      </c>
      <c r="B215" s="808" t="s">
        <v>3251</v>
      </c>
      <c r="C215" s="45" t="b">
        <v>1</v>
      </c>
      <c r="D215" s="120" t="b">
        <v>0</v>
      </c>
    </row>
    <row r="216" spans="1:14">
      <c r="A216" s="43" t="str">
        <f t="shared" si="157"/>
        <v>La Chaux-de-Fonds</v>
      </c>
      <c r="B216" s="808" t="s">
        <v>3250</v>
      </c>
      <c r="C216" s="120" t="b">
        <v>0</v>
      </c>
      <c r="D216" s="120" t="b">
        <v>0</v>
      </c>
    </row>
    <row r="217" spans="1:14">
      <c r="A217" s="43" t="str">
        <f t="shared" si="157"/>
        <v>La Frêtaz</v>
      </c>
      <c r="B217" s="808" t="s">
        <v>3250</v>
      </c>
      <c r="C217" s="120" t="b">
        <v>0</v>
      </c>
      <c r="D217" s="120" t="b">
        <v>0</v>
      </c>
    </row>
    <row r="218" spans="1:14">
      <c r="A218" s="43" t="str">
        <f t="shared" si="157"/>
        <v>Locarno-Monti</v>
      </c>
      <c r="B218" s="808" t="s">
        <v>3254</v>
      </c>
      <c r="C218" s="45" t="b">
        <v>1</v>
      </c>
      <c r="D218" s="120" t="b">
        <v>1</v>
      </c>
    </row>
    <row r="219" spans="1:14">
      <c r="A219" s="43" t="str">
        <f t="shared" si="157"/>
        <v>Lugano</v>
      </c>
      <c r="B219" s="808" t="s">
        <v>3254</v>
      </c>
      <c r="C219" s="120" t="b">
        <v>0</v>
      </c>
      <c r="D219" s="120" t="b">
        <v>1</v>
      </c>
    </row>
    <row r="220" spans="1:14">
      <c r="A220" s="43" t="str">
        <f t="shared" si="157"/>
        <v>Luzern</v>
      </c>
      <c r="B220" s="808" t="s">
        <v>3251</v>
      </c>
      <c r="C220" s="120" t="b">
        <v>0</v>
      </c>
      <c r="D220" s="120" t="b">
        <v>0</v>
      </c>
    </row>
    <row r="221" spans="1:14">
      <c r="A221" s="43" t="str">
        <f t="shared" si="157"/>
        <v>Magadino</v>
      </c>
      <c r="B221" s="808" t="s">
        <v>3254</v>
      </c>
      <c r="C221" s="45" t="b">
        <v>1</v>
      </c>
      <c r="D221" s="120" t="b">
        <v>1</v>
      </c>
    </row>
    <row r="222" spans="1:14">
      <c r="A222" s="43" t="str">
        <f t="shared" si="157"/>
        <v>Montana</v>
      </c>
      <c r="B222" s="808" t="s">
        <v>3250</v>
      </c>
      <c r="C222" s="45" t="b">
        <v>1</v>
      </c>
      <c r="D222" s="120" t="b">
        <v>0</v>
      </c>
    </row>
    <row r="223" spans="1:14">
      <c r="A223" s="43" t="str">
        <f t="shared" si="157"/>
        <v>Neuchâtel</v>
      </c>
      <c r="B223" s="808" t="s">
        <v>3253</v>
      </c>
      <c r="C223" s="120" t="b">
        <v>0</v>
      </c>
      <c r="D223" s="120" t="b">
        <v>0</v>
      </c>
    </row>
    <row r="224" spans="1:14">
      <c r="A224" s="43" t="str">
        <f t="shared" si="157"/>
        <v>Payerne</v>
      </c>
      <c r="B224" s="808" t="s">
        <v>3251</v>
      </c>
      <c r="C224" s="120" t="b">
        <v>0</v>
      </c>
      <c r="D224" s="120" t="b">
        <v>0</v>
      </c>
    </row>
    <row r="225" spans="1:4">
      <c r="A225" s="43" t="str">
        <f t="shared" si="157"/>
        <v>Piotta</v>
      </c>
      <c r="B225" s="808" t="s">
        <v>3250</v>
      </c>
      <c r="C225" s="45" t="b">
        <v>1</v>
      </c>
      <c r="D225" s="120" t="b">
        <v>1</v>
      </c>
    </row>
    <row r="226" spans="1:4">
      <c r="A226" s="43" t="str">
        <f t="shared" si="157"/>
        <v>Pully</v>
      </c>
      <c r="B226" s="808" t="s">
        <v>3253</v>
      </c>
      <c r="C226" s="120" t="b">
        <v>0</v>
      </c>
      <c r="D226" s="120" t="b">
        <v>0</v>
      </c>
    </row>
    <row r="227" spans="1:4">
      <c r="A227" s="43" t="str">
        <f t="shared" si="157"/>
        <v>Robbia</v>
      </c>
      <c r="B227" s="808" t="s">
        <v>3250</v>
      </c>
      <c r="C227" s="45" t="b">
        <v>1</v>
      </c>
      <c r="D227" s="120" t="b">
        <v>1</v>
      </c>
    </row>
    <row r="228" spans="1:4">
      <c r="A228" s="43" t="str">
        <f t="shared" si="157"/>
        <v>Rünenberg</v>
      </c>
      <c r="B228" s="808" t="s">
        <v>3251</v>
      </c>
      <c r="C228" s="120" t="b">
        <v>0</v>
      </c>
      <c r="D228" s="120" t="b">
        <v>0</v>
      </c>
    </row>
    <row r="229" spans="1:4">
      <c r="A229" s="43" t="str">
        <f t="shared" si="157"/>
        <v>Samedan</v>
      </c>
      <c r="B229" s="808" t="s">
        <v>3252</v>
      </c>
      <c r="C229" s="45" t="b">
        <v>1</v>
      </c>
      <c r="D229" s="120" t="b">
        <v>0</v>
      </c>
    </row>
    <row r="230" spans="1:4">
      <c r="A230" s="43" t="str">
        <f t="shared" si="157"/>
        <v>San Bernardino</v>
      </c>
      <c r="B230" s="808" t="s">
        <v>3252</v>
      </c>
      <c r="C230" s="45" t="b">
        <v>1</v>
      </c>
      <c r="D230" s="120" t="b">
        <v>1</v>
      </c>
    </row>
    <row r="231" spans="1:4">
      <c r="A231" s="43" t="str">
        <f t="shared" si="157"/>
        <v>St. Gallen</v>
      </c>
      <c r="B231" s="808" t="s">
        <v>3251</v>
      </c>
      <c r="C231" s="120" t="b">
        <v>0</v>
      </c>
      <c r="D231" s="120" t="b">
        <v>0</v>
      </c>
    </row>
    <row r="232" spans="1:4">
      <c r="A232" s="43" t="str">
        <f t="shared" si="157"/>
        <v>Schaffhausen</v>
      </c>
      <c r="B232" s="808" t="s">
        <v>3251</v>
      </c>
      <c r="C232" s="120" t="b">
        <v>0</v>
      </c>
      <c r="D232" s="120" t="b">
        <v>0</v>
      </c>
    </row>
    <row r="233" spans="1:4">
      <c r="A233" s="43" t="str">
        <f t="shared" si="157"/>
        <v>Schuls</v>
      </c>
      <c r="B233" s="808" t="s">
        <v>3252</v>
      </c>
      <c r="C233" s="45" t="b">
        <v>1</v>
      </c>
      <c r="D233" s="120" t="b">
        <v>0</v>
      </c>
    </row>
    <row r="234" spans="1:4">
      <c r="A234" s="43" t="str">
        <f t="shared" si="157"/>
        <v>Sion</v>
      </c>
      <c r="B234" s="808" t="s">
        <v>3253</v>
      </c>
      <c r="C234" s="45" t="b">
        <v>1</v>
      </c>
      <c r="D234" s="120" t="b">
        <v>0</v>
      </c>
    </row>
    <row r="235" spans="1:4">
      <c r="A235" s="43" t="str">
        <f t="shared" si="157"/>
        <v>Ulrichen</v>
      </c>
      <c r="B235" s="808" t="s">
        <v>3252</v>
      </c>
      <c r="C235" s="45" t="b">
        <v>1</v>
      </c>
      <c r="D235" s="120" t="b">
        <v>0</v>
      </c>
    </row>
    <row r="236" spans="1:4">
      <c r="A236" s="43" t="str">
        <f t="shared" si="157"/>
        <v>Vaduz</v>
      </c>
      <c r="B236" s="808" t="s">
        <v>3251</v>
      </c>
      <c r="C236" s="45" t="b">
        <v>1</v>
      </c>
      <c r="D236" s="120" t="b">
        <v>0</v>
      </c>
    </row>
    <row r="237" spans="1:4">
      <c r="A237" s="43" t="str">
        <f t="shared" si="157"/>
        <v>Wynau</v>
      </c>
      <c r="B237" s="808" t="s">
        <v>3251</v>
      </c>
      <c r="C237" s="120" t="b">
        <v>0</v>
      </c>
      <c r="D237" s="120" t="b">
        <v>0</v>
      </c>
    </row>
    <row r="238" spans="1:4">
      <c r="A238" s="43" t="str">
        <f t="shared" si="157"/>
        <v>Zermatt</v>
      </c>
      <c r="B238" s="808" t="s">
        <v>3252</v>
      </c>
      <c r="C238" s="45" t="b">
        <v>1</v>
      </c>
      <c r="D238" s="120" t="b">
        <v>0</v>
      </c>
    </row>
    <row r="239" spans="1:4">
      <c r="A239" s="43" t="str">
        <f t="shared" si="157"/>
        <v>Zürich-Kloten</v>
      </c>
      <c r="B239" s="808" t="s">
        <v>3251</v>
      </c>
      <c r="C239" s="120" t="b">
        <v>0</v>
      </c>
      <c r="D239" s="120" t="b">
        <v>0</v>
      </c>
    </row>
    <row r="240" spans="1:4">
      <c r="A240" s="94" t="str">
        <f>A94</f>
        <v>Zürich SMA</v>
      </c>
      <c r="B240" s="809" t="s">
        <v>3251</v>
      </c>
      <c r="C240" s="120" t="b">
        <v>0</v>
      </c>
      <c r="D240" s="142" t="b">
        <v>0</v>
      </c>
    </row>
    <row r="241" spans="1:4">
      <c r="A241" s="127" t="s">
        <v>3799</v>
      </c>
      <c r="B241" s="126"/>
      <c r="C241" s="126"/>
      <c r="D241" s="1846" t="b">
        <f>IF(B51=0,FALSE,INDEX(D200:D240,B51,1))</f>
        <v>0</v>
      </c>
    </row>
    <row r="242" spans="1:4">
      <c r="A242" s="94" t="s">
        <v>3800</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ABDDE9E9-06B2-4D7A-A346-DDAB1C9862E3}"/>
</file>

<file path=customXml/itemProps2.xml><?xml version="1.0" encoding="utf-8"?>
<ds:datastoreItem xmlns:ds="http://schemas.openxmlformats.org/officeDocument/2006/customXml" ds:itemID="{8E664DD5-B919-4C59-8D8C-8A35056B8EAD}"/>
</file>

<file path=customXml/itemProps3.xml><?xml version="1.0" encoding="utf-8"?>
<ds:datastoreItem xmlns:ds="http://schemas.openxmlformats.org/officeDocument/2006/customXml" ds:itemID="{E511635D-A440-4E0A-A574-5A96498259A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432</vt:i4>
      </vt:variant>
    </vt:vector>
  </HeadingPairs>
  <TitlesOfParts>
    <vt:vector size="446" baseType="lpstr">
      <vt:lpstr>Eingaben</vt:lpstr>
      <vt:lpstr>MINERGIE</vt:lpstr>
      <vt:lpstr>Nachweis</vt:lpstr>
      <vt:lpstr>Sommer</vt:lpstr>
      <vt:lpstr>Uebersicht</vt:lpstr>
      <vt:lpstr>MOP</vt:lpstr>
      <vt:lpstr>Solar_BE</vt:lpstr>
      <vt:lpstr>Uebersicht_BE</vt:lpstr>
      <vt:lpstr>Standardwerte</vt:lpstr>
      <vt:lpstr>PVopti</vt:lpstr>
      <vt:lpstr>Log</vt:lpstr>
      <vt:lpstr>Erstellung</vt:lpstr>
      <vt:lpstr>Uebersetzung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Solar_BE!Druckbereich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EBF_wohnen_neu</vt:lpstr>
      <vt:lpstr>EBF_wohnen_neu1</vt:lpstr>
      <vt:lpstr>EBF_wohnen_neu2</vt:lpstr>
      <vt:lpstr>EBF_wohnen_neu3</vt:lpstr>
      <vt:lpstr>EBF_wohnen_neu4</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Mischnutzung</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solar_erfüllt</vt:lpstr>
      <vt:lpstr>Solarpflicht</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V2.95</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2026-01-12T11:17:49Z</cp:lastPrinted>
  <dcterms:created xsi:type="dcterms:W3CDTF">1998-04-16T12:19:12Z</dcterms:created>
  <dcterms:modified xsi:type="dcterms:W3CDTF">2026-01-12T16:16:00Z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4fdd986-87d9-48c6-acda-407b1ab5fef0_Enabled">
    <vt:lpwstr>true</vt:lpwstr>
  </property>
  <property fmtid="{D5CDD505-2E9C-101B-9397-08002B2CF9AE}" pid="3" name="MSIP_Label_74fdd986-87d9-48c6-acda-407b1ab5fef0_SetDate">
    <vt:lpwstr>2026-01-12T06:41:02Z</vt:lpwstr>
  </property>
  <property fmtid="{D5CDD505-2E9C-101B-9397-08002B2CF9AE}" pid="4" name="MSIP_Label_74fdd986-87d9-48c6-acda-407b1ab5fef0_Method">
    <vt:lpwstr>Standard</vt:lpwstr>
  </property>
  <property fmtid="{D5CDD505-2E9C-101B-9397-08002B2CF9AE}" pid="5" name="MSIP_Label_74fdd986-87d9-48c6-acda-407b1ab5fef0_Name">
    <vt:lpwstr>NICHT KLASSIFIZIERT</vt:lpwstr>
  </property>
  <property fmtid="{D5CDD505-2E9C-101B-9397-08002B2CF9AE}" pid="6" name="MSIP_Label_74fdd986-87d9-48c6-acda-407b1ab5fef0_SiteId">
    <vt:lpwstr>cb96f99a-a111-42d7-9f65-e111197ba4bb</vt:lpwstr>
  </property>
  <property fmtid="{D5CDD505-2E9C-101B-9397-08002B2CF9AE}" pid="7" name="MSIP_Label_74fdd986-87d9-48c6-acda-407b1ab5fef0_ActionId">
    <vt:lpwstr>001d07cc-4d6b-40f1-bc6a-be83bfb917b4</vt:lpwstr>
  </property>
  <property fmtid="{D5CDD505-2E9C-101B-9397-08002B2CF9AE}" pid="8" name="MSIP_Label_74fdd986-87d9-48c6-acda-407b1ab5fef0_ContentBits">
    <vt:lpwstr>0</vt:lpwstr>
  </property>
  <property fmtid="{D5CDD505-2E9C-101B-9397-08002B2CF9AE}" pid="9" name="MSIP_Label_74fdd986-87d9-48c6-acda-407b1ab5fef0_Tag">
    <vt:lpwstr>10, 3, 0, 1</vt:lpwstr>
  </property>
  <property fmtid="{D5CDD505-2E9C-101B-9397-08002B2CF9AE}" pid="10" name="ContentTypeId">
    <vt:lpwstr>0x01010061A9E30EE20F8A40AC50A8E7D6173A6E</vt:lpwstr>
  </property>
</Properties>
</file>